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1.xml" ContentType="application/vnd.openxmlformats-officedocument.spreadsheetml.comments+xml"/>
  <Override PartName="/xl/drawings/drawing4.xml" ContentType="application/vnd.openxmlformats-officedocument.drawing+xml"/>
  <Override PartName="/xl/comments2.xml" ContentType="application/vnd.openxmlformats-officedocument.spreadsheetml.comment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omments3.xml" ContentType="application/vnd.openxmlformats-officedocument.spreadsheetml.comments+xml"/>
  <Override PartName="/xl/drawings/drawing11.xml" ContentType="application/vnd.openxmlformats-officedocument.drawing+xml"/>
  <Override PartName="/xl/comments4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929"/>
  <workbookPr/>
  <mc:AlternateContent xmlns:mc="http://schemas.openxmlformats.org/markup-compatibility/2006">
    <mc:Choice Requires="x15">
      <x15ac:absPath xmlns:x15ac="http://schemas.microsoft.com/office/spreadsheetml/2010/11/ac" url="https://d.docs.live.net/d734f2b2dca52e43/Consultoria one drive/Condado/UBS - porte 2/Licitação/"/>
    </mc:Choice>
  </mc:AlternateContent>
  <xr:revisionPtr revIDLastSave="38" documentId="8_{D743E3DF-62F9-490D-951F-4E45697BEF69}" xr6:coauthVersionLast="46" xr6:coauthVersionMax="47" xr10:uidLastSave="{14AC0DEB-F8FE-40A1-8613-929129127047}"/>
  <bookViews>
    <workbookView minimized="1" xWindow="44955" yWindow="2430" windowWidth="15885" windowHeight="15405" activeTab="2" xr2:uid="{3D0FD523-643D-45D4-A163-106CCC773F69}"/>
  </bookViews>
  <sheets>
    <sheet name="DADOS GERAIS" sheetId="1" r:id="rId1"/>
    <sheet name="RESUMO" sheetId="2" r:id="rId2"/>
    <sheet name="ORC. SINTÉTICO - DES" sheetId="3" r:id="rId3"/>
    <sheet name="CPUS" sheetId="5" r:id="rId4"/>
    <sheet name="BDI DESONERADO" sheetId="6" r:id="rId5"/>
    <sheet name="Cotação" sheetId="9" r:id="rId6"/>
    <sheet name="ENCARGOS SOCIAIS" sheetId="7" r:id="rId7"/>
    <sheet name="JUSTIFICATIVAS CPUS" sheetId="8" r:id="rId8"/>
    <sheet name="Cronograma" sheetId="10" r:id="rId9"/>
    <sheet name="Quantidades" sheetId="11" r:id="rId10"/>
    <sheet name="Curva ABC" sheetId="12" r:id="rId11"/>
  </sheets>
  <definedNames>
    <definedName name="_AA100000" localSheetId="7">#REF!</definedName>
    <definedName name="_AA100000">#REF!</definedName>
    <definedName name="_Fill" localSheetId="7">#REF!</definedName>
    <definedName name="_Fill">#REF!</definedName>
    <definedName name="_xlnm._FilterDatabase" localSheetId="3" hidden="1">CPUS!$A$16:$X$16</definedName>
    <definedName name="_xlnm._FilterDatabase" localSheetId="10" hidden="1">'Curva ABC'!$Q$20:$Q$480</definedName>
    <definedName name="_xlnm._FilterDatabase" localSheetId="7" hidden="1">'JUSTIFICATIVAS CPUS'!$B$15:$M$149</definedName>
    <definedName name="_xlnm._FilterDatabase" localSheetId="2" hidden="1">'ORC. SINTÉTICO - DES'!$A$17:$AI$484</definedName>
    <definedName name="_xlnm._FilterDatabase" localSheetId="9" hidden="1">Quantidades!$Q$20:$Q$480</definedName>
    <definedName name="_LOC10" localSheetId="7">#REF!</definedName>
    <definedName name="_LOC10">#REF!</definedName>
    <definedName name="_LOC11" localSheetId="7">#REF!</definedName>
    <definedName name="_LOC11">#REF!</definedName>
    <definedName name="_LOC12" localSheetId="7">#REF!</definedName>
    <definedName name="_LOC12">#REF!</definedName>
    <definedName name="_LOC13">#REF!</definedName>
    <definedName name="_LOC14">#REF!</definedName>
    <definedName name="_LOC15">#REF!</definedName>
    <definedName name="_LOC16">#REF!</definedName>
    <definedName name="_LOC17">#REF!</definedName>
    <definedName name="_LOC18">#REF!</definedName>
    <definedName name="_LOC19">#REF!</definedName>
    <definedName name="_LOC2">#REF!</definedName>
    <definedName name="_LOC20">#REF!</definedName>
    <definedName name="_LOC21">#REF!</definedName>
    <definedName name="_LOC22">#REF!</definedName>
    <definedName name="_LOC23">#REF!</definedName>
    <definedName name="_LOC24">#REF!</definedName>
    <definedName name="_LOC25">#REF!</definedName>
    <definedName name="_LOC26">#REF!</definedName>
    <definedName name="_LOC27">#REF!</definedName>
    <definedName name="_LOC28">#REF!</definedName>
    <definedName name="_LOC29">#REF!</definedName>
    <definedName name="_LOC3">#REF!</definedName>
    <definedName name="_LOC30">#REF!</definedName>
    <definedName name="_LOC31">#REF!</definedName>
    <definedName name="_LOC32">#REF!</definedName>
    <definedName name="_LOC33">#REF!</definedName>
    <definedName name="_LOC34">#REF!</definedName>
    <definedName name="_LOC35">#REF!</definedName>
    <definedName name="_LOC36">#REF!</definedName>
    <definedName name="_LOC37">#REF!</definedName>
    <definedName name="_LOC38">#REF!</definedName>
    <definedName name="_LOC39">#REF!</definedName>
    <definedName name="_LOC4">#REF!</definedName>
    <definedName name="_LOC40">#REF!</definedName>
    <definedName name="_LOC41">#REF!</definedName>
    <definedName name="_LOC42">#REF!</definedName>
    <definedName name="_LOC5">#REF!</definedName>
    <definedName name="_LOC6">#REF!</definedName>
    <definedName name="_LOC7">#REF!</definedName>
    <definedName name="_LOC8">#REF!</definedName>
    <definedName name="_LOC9">#REF!</definedName>
    <definedName name="_R">#REF!</definedName>
    <definedName name="AAA">#REF!</definedName>
    <definedName name="AC">#REF!</definedName>
    <definedName name="AL">#REF!</definedName>
    <definedName name="ALVEREVEST">#REF!</definedName>
    <definedName name="_xlnm.Print_Area" localSheetId="8">Cronograma!$A$1:$L$57</definedName>
    <definedName name="_xlnm.Print_Area" localSheetId="10">'Curva ABC'!$B$2:$Q$485</definedName>
    <definedName name="_xlnm.Print_Area" localSheetId="0">'DADOS GERAIS'!$A$1:$F$34</definedName>
    <definedName name="_xlnm.Print_Area" localSheetId="7">'JUSTIFICATIVAS CPUS'!$A$1:$I$172</definedName>
    <definedName name="_xlnm.Print_Area" localSheetId="2">'ORC. SINTÉTICO - DES'!$B$2:$Q$485</definedName>
    <definedName name="_xlnm.Print_Area" localSheetId="9">Quantidades!$B$2:$Q$485</definedName>
    <definedName name="_xlnm.Print_Area" localSheetId="1">RESUMO!$A$1:$G$52</definedName>
    <definedName name="Área_impressão_IM" localSheetId="7">#REF!</definedName>
    <definedName name="Área_impressão_IM">#REF!</definedName>
    <definedName name="B.01.05.10.10" localSheetId="7">#REF!</definedName>
    <definedName name="B.01.05.10.10">#REF!</definedName>
    <definedName name="CD" localSheetId="7">#REF!</definedName>
    <definedName name="CD">#REF!</definedName>
    <definedName name="COBERTURA">#REF!</definedName>
    <definedName name="CP">#REF!</definedName>
    <definedName name="CS">#REF!</definedName>
    <definedName name="CT">#REF!</definedName>
    <definedName name="ESQUADRIA">#REF!</definedName>
    <definedName name="ESTRUCONC">#REF!</definedName>
    <definedName name="EV">#REF!</definedName>
    <definedName name="FORROS">#REF!</definedName>
    <definedName name="FUNDAÇÃO">#REF!</definedName>
    <definedName name="IC">#REF!</definedName>
    <definedName name="IMPERMEAB">#REF!</definedName>
    <definedName name="IMPR">#REF!</definedName>
    <definedName name="IMPR1">#REF!</definedName>
    <definedName name="INSTELET">#REF!</definedName>
    <definedName name="INSTHIDRA">#REF!</definedName>
    <definedName name="IS">#REF!</definedName>
    <definedName name="LB">#REF!</definedName>
    <definedName name="LIMPEOBRA">#REF!</definedName>
    <definedName name="MACROS">#REF!</definedName>
    <definedName name="MOVTERRA">#REF!</definedName>
    <definedName name="PINTURAS">#REF!</definedName>
    <definedName name="PISOSREVEST">#REF!</definedName>
    <definedName name="Preço_Unit_Chácaras">#REF!</definedName>
    <definedName name="Print_Area_MI">#REF!</definedName>
    <definedName name="PV">#REF!</definedName>
    <definedName name="Quant_Chácaras">#REF!</definedName>
    <definedName name="Receita_Chácaras">#REF!</definedName>
    <definedName name="SERVCOMPL">#REF!</definedName>
    <definedName name="SERVPRE">#REF!</definedName>
    <definedName name="solver_opt">#REF!</definedName>
    <definedName name="solver_tmp">#REF!</definedName>
    <definedName name="t_meso_2">#REF!</definedName>
    <definedName name="t_super_est_2">#REF!</definedName>
    <definedName name="TESTE">#REF!</definedName>
    <definedName name="_xlnm.Print_Titles" localSheetId="3">CPUS!$2:$15</definedName>
    <definedName name="_xlnm.Print_Titles" localSheetId="8">Cronograma!$1:$9</definedName>
    <definedName name="_xlnm.Print_Titles" localSheetId="10">'Curva ABC'!$2:$17</definedName>
    <definedName name="_xlnm.Print_Titles" localSheetId="7">'JUSTIFICATIVAS CPUS'!$1:$15</definedName>
    <definedName name="_xlnm.Print_Titles" localSheetId="2">'ORC. SINTÉTICO - DES'!$2:$17</definedName>
    <definedName name="_xlnm.Print_Titles" localSheetId="9">Quantidades!$2:$17</definedName>
    <definedName name="tot_infra_1" localSheetId="7">#REF!</definedName>
    <definedName name="tot_infra_1">#REF!</definedName>
    <definedName name="TOTAL_GERAL" localSheetId="7">#REF!</definedName>
    <definedName name="TOTAL_GERAL">#REF!</definedName>
    <definedName name="TOTALCRONOGRA" localSheetId="7">#REF!</definedName>
    <definedName name="TOTALCRONOGRA">#REF!</definedName>
    <definedName name="wrn.COLETAS._.DE._.EQUIPAMENTOS.">#REF!</definedName>
    <definedName name="wrn.COLETAS._.DE._.MATERIAIS.">#REF!</definedName>
    <definedName name="wrn.COMP._.EQUIP.">#REF!</definedName>
    <definedName name="wrn.COMP._.MATERIAIS.">#REF!</definedName>
    <definedName name="wrn.PNEUS.">#REF!</definedName>
    <definedName name="Z_0306F0C2_70DB_4729_BB6A_5299B1A5AEA0_.wvu.PrintArea" localSheetId="4">'BDI DESONERADO'!$A$1:$G$56</definedName>
    <definedName name="Z_0306F0C2_70DB_4729_BB6A_5299B1A5AEA0_.wvu.PrintArea" localSheetId="6">'ENCARGOS SOCIAIS'!$A$1:$G$74</definedName>
    <definedName name="Z_12376024_9872_4870_B42C_DF0FD31EC62E_.wvu.PrintArea" localSheetId="4">'BDI DESONERADO'!$A$1:$G$56</definedName>
    <definedName name="Z_12376024_9872_4870_B42C_DF0FD31EC62E_.wvu.PrintArea" localSheetId="6">'ENCARGOS SOCIAIS'!$A$1:$G$74</definedName>
    <definedName name="Z_12538664_79C6_4AAD_BD81_5363A5F496D7_.wvu.PrintArea" localSheetId="3">CPUS!$B$2:$J$16</definedName>
    <definedName name="Z_12538664_79C6_4AAD_BD81_5363A5F496D7_.wvu.PrintArea" localSheetId="10">'Curva ABC'!$B$2:$N$282</definedName>
    <definedName name="Z_12538664_79C6_4AAD_BD81_5363A5F496D7_.wvu.PrintArea" localSheetId="0">'DADOS GERAIS'!$B$2:$E$34</definedName>
    <definedName name="Z_12538664_79C6_4AAD_BD81_5363A5F496D7_.wvu.PrintArea" localSheetId="2">'ORC. SINTÉTICO - DES'!$B$2:$N$282</definedName>
    <definedName name="Z_12538664_79C6_4AAD_BD81_5363A5F496D7_.wvu.PrintArea" localSheetId="9">Quantidades!$B$2:$N$282</definedName>
    <definedName name="Z_12538664_79C6_4AAD_BD81_5363A5F496D7_.wvu.PrintArea" localSheetId="1">RESUMO!$B$2:$F$52</definedName>
    <definedName name="Z_12538664_79C6_4AAD_BD81_5363A5F496D7_.wvu.Rows" localSheetId="3">CPUS!#REF!</definedName>
    <definedName name="Z_12538664_79C6_4AAD_BD81_5363A5F496D7_.wvu.Rows" localSheetId="10">'Curva ABC'!$286:$291</definedName>
    <definedName name="Z_12538664_79C6_4AAD_BD81_5363A5F496D7_.wvu.Rows" localSheetId="2">'ORC. SINTÉTICO - DES'!$286:$291</definedName>
    <definedName name="Z_12538664_79C6_4AAD_BD81_5363A5F496D7_.wvu.Rows" localSheetId="9">Quantidades!$286:$291</definedName>
    <definedName name="Z_18D9C5C8_6EC0_4507_ACF1_BEE4D54D4AE8_.wvu.PrintArea" localSheetId="3">CPUS!$B$2:$J$16</definedName>
    <definedName name="Z_18D9C5C8_6EC0_4507_ACF1_BEE4D54D4AE8_.wvu.PrintArea" localSheetId="10">'Curva ABC'!$B$2:$N$282</definedName>
    <definedName name="Z_18D9C5C8_6EC0_4507_ACF1_BEE4D54D4AE8_.wvu.PrintArea" localSheetId="0">'DADOS GERAIS'!$B$2:$E$34</definedName>
    <definedName name="Z_18D9C5C8_6EC0_4507_ACF1_BEE4D54D4AE8_.wvu.PrintArea" localSheetId="2">'ORC. SINTÉTICO - DES'!$B$2:$N$282</definedName>
    <definedName name="Z_18D9C5C8_6EC0_4507_ACF1_BEE4D54D4AE8_.wvu.PrintArea" localSheetId="9">Quantidades!$B$2:$N$282</definedName>
    <definedName name="Z_18D9C5C8_6EC0_4507_ACF1_BEE4D54D4AE8_.wvu.PrintArea" localSheetId="1">RESUMO!$B$2:$F$52</definedName>
    <definedName name="Z_18D9C5C8_6EC0_4507_ACF1_BEE4D54D4AE8_.wvu.Rows" localSheetId="3">CPUS!#REF!</definedName>
    <definedName name="Z_18D9C5C8_6EC0_4507_ACF1_BEE4D54D4AE8_.wvu.Rows" localSheetId="10">'Curva ABC'!$286:$291</definedName>
    <definedName name="Z_18D9C5C8_6EC0_4507_ACF1_BEE4D54D4AE8_.wvu.Rows" localSheetId="2">'ORC. SINTÉTICO - DES'!$286:$291</definedName>
    <definedName name="Z_18D9C5C8_6EC0_4507_ACF1_BEE4D54D4AE8_.wvu.Rows" localSheetId="9">Quantidades!$286:$291</definedName>
    <definedName name="Z_2675BA43_8563_4FE8_9385_CEC837618B0A_.wvu.PrintArea" localSheetId="7">'JUSTIFICATIVAS CPUS'!$B$14:$I$15</definedName>
    <definedName name="Z_28B41BAB_DC76_480E_A1E5_0680F2E379B7_.wvu.PrintArea" localSheetId="7">'JUSTIFICATIVAS CPUS'!$B$14:$I$15</definedName>
    <definedName name="Z_2C035CC8_3055_44F7_AAA9_AD9C9EF12435_.wvu.PrintArea" localSheetId="7">'JUSTIFICATIVAS CPUS'!$B$14:$I$15</definedName>
    <definedName name="Z_31669B58_6052_4B28_A2A6_B4D646275034_.wvu.PrintArea" localSheetId="4">'BDI DESONERADO'!$A$1:$G$56</definedName>
    <definedName name="Z_31669B58_6052_4B28_A2A6_B4D646275034_.wvu.PrintArea" localSheetId="6">'ENCARGOS SOCIAIS'!$A$1:$G$74</definedName>
    <definedName name="Z_53D497E1_E826_4F8A_992E_431F101CA300_.wvu.PrintArea" localSheetId="7">'JUSTIFICATIVAS CPUS'!$B$14:$I$15</definedName>
    <definedName name="Z_5C936B0E_B1B0_4680_9496_257339E19331_.wvu.PrintArea" localSheetId="4">'BDI DESONERADO'!$A$1:$G$56</definedName>
    <definedName name="Z_5C936B0E_B1B0_4680_9496_257339E19331_.wvu.PrintArea" localSheetId="6">'ENCARGOS SOCIAIS'!$A$1:$G$74</definedName>
    <definedName name="Z_5EB5A1F5_D41C_4922_9EB6_0F91F671DD29_.wvu.PrintArea" localSheetId="4">'BDI DESONERADO'!$A$1:$G$56</definedName>
    <definedName name="Z_5EB5A1F5_D41C_4922_9EB6_0F91F671DD29_.wvu.PrintArea" localSheetId="6">'ENCARGOS SOCIAIS'!$A$1:$G$74</definedName>
    <definedName name="Z_6C4A5780_A529_48FA_99BA_79BD868CD359_.wvu.PrintArea" localSheetId="7">'JUSTIFICATIVAS CPUS'!$B$14:$I$15</definedName>
    <definedName name="Z_6CEAEE79_3031_4A07_9C1B_BEA3A33B6E8E_.wvu.PrintArea" localSheetId="4">'BDI DESONERADO'!$A$1:$G$56</definedName>
    <definedName name="Z_6CEAEE79_3031_4A07_9C1B_BEA3A33B6E8E_.wvu.PrintArea" localSheetId="6">'ENCARGOS SOCIAIS'!$A$1:$G$74</definedName>
    <definedName name="Z_7FF15CC8_DB84_4698_8C98_3A52BD743E2D_.wvu.PrintArea" localSheetId="7">'JUSTIFICATIVAS CPUS'!$B$14:$I$15</definedName>
    <definedName name="Z_8AD65702_4E2C_47D8_8007_38AB6DC80A2F_.wvu.PrintArea" localSheetId="7">'JUSTIFICATIVAS CPUS'!$B$14:$I$15</definedName>
    <definedName name="Z_8D21F177_5E6A_4C44_9891_68BF06A93C62_.wvu.PrintArea" localSheetId="7">'JUSTIFICATIVAS CPUS'!$B$14:$I$15</definedName>
    <definedName name="Z_A07C36CD_65E3_4A21_B956_D1766C5EB84D_.wvu.PrintArea" localSheetId="7">'JUSTIFICATIVAS CPUS'!$B$14:$I$15</definedName>
    <definedName name="Z_A951D8EB_0DF5_4872_832B_26DF5B5ABADD_.wvu.PrintArea" localSheetId="7">'JUSTIFICATIVAS CPUS'!$B$14:$I$15</definedName>
    <definedName name="Z_CA485D5E_5C09_4636_B7A6_10EC2B405CCB_.wvu.PrintArea" localSheetId="3">CPUS!$B$1:$J$16</definedName>
    <definedName name="Z_CA485D5E_5C09_4636_B7A6_10EC2B405CCB_.wvu.PrintArea" localSheetId="10">'Curva ABC'!$B$1:$N$285</definedName>
    <definedName name="Z_CA485D5E_5C09_4636_B7A6_10EC2B405CCB_.wvu.PrintArea" localSheetId="0">'DADOS GERAIS'!$A$1:$F$35</definedName>
    <definedName name="Z_CA485D5E_5C09_4636_B7A6_10EC2B405CCB_.wvu.PrintArea" localSheetId="2">'ORC. SINTÉTICO - DES'!$B$1:$N$285</definedName>
    <definedName name="Z_CA485D5E_5C09_4636_B7A6_10EC2B405CCB_.wvu.PrintArea" localSheetId="9">Quantidades!$B$1:$N$285</definedName>
    <definedName name="Z_CA485D5E_5C09_4636_B7A6_10EC2B405CCB_.wvu.PrintArea" localSheetId="1">RESUMO!$A$1:$G$52</definedName>
    <definedName name="Z_CA485D5E_5C09_4636_B7A6_10EC2B405CCB_.wvu.Rows" localSheetId="3">CPUS!#REF!</definedName>
    <definedName name="Z_CA485D5E_5C09_4636_B7A6_10EC2B405CCB_.wvu.Rows" localSheetId="10">'Curva ABC'!$286:$291</definedName>
    <definedName name="Z_CA485D5E_5C09_4636_B7A6_10EC2B405CCB_.wvu.Rows" localSheetId="2">'ORC. SINTÉTICO - DES'!$286:$291</definedName>
    <definedName name="Z_CA485D5E_5C09_4636_B7A6_10EC2B405CCB_.wvu.Rows" localSheetId="9">Quantidades!$286:$291</definedName>
    <definedName name="Z_E00A2F2B_5FAE_482A_B5C1_08D9DD4D80BE_.wvu.PrintArea" localSheetId="7">'JUSTIFICATIVAS CPUS'!$B$14:$I$15</definedName>
  </definedNames>
  <calcPr calcId="191029" fullPrecision="0"/>
</workbook>
</file>

<file path=xl/calcChain.xml><?xml version="1.0" encoding="utf-8"?>
<calcChain xmlns="http://schemas.openxmlformats.org/spreadsheetml/2006/main">
  <c r="S480" i="12" l="1"/>
  <c r="S479" i="12"/>
  <c r="S478" i="12"/>
  <c r="S477" i="12"/>
  <c r="S476" i="12"/>
  <c r="S475" i="12"/>
  <c r="S474" i="12"/>
  <c r="S473" i="12"/>
  <c r="S472" i="12"/>
  <c r="S471" i="12"/>
  <c r="S470" i="12"/>
  <c r="S469" i="12"/>
  <c r="S468" i="12"/>
  <c r="S467" i="12"/>
  <c r="S465" i="12"/>
  <c r="S464" i="12"/>
  <c r="S463" i="12"/>
  <c r="S462" i="12"/>
  <c r="S461" i="12"/>
  <c r="S460" i="12"/>
  <c r="S459" i="12"/>
  <c r="S458" i="12"/>
  <c r="S457" i="12"/>
  <c r="S456" i="12"/>
  <c r="S455" i="12"/>
  <c r="S454" i="12"/>
  <c r="S453" i="12"/>
  <c r="S452" i="12"/>
  <c r="S451" i="12"/>
  <c r="S450" i="12"/>
  <c r="S449" i="12"/>
  <c r="S448" i="12"/>
  <c r="S447" i="12"/>
  <c r="S446" i="12"/>
  <c r="S445" i="12"/>
  <c r="S444" i="12"/>
  <c r="S443" i="12"/>
  <c r="S442" i="12"/>
  <c r="S441" i="12"/>
  <c r="S440" i="12"/>
  <c r="S439" i="12"/>
  <c r="S438" i="12"/>
  <c r="S437" i="12"/>
  <c r="S436" i="12"/>
  <c r="S435" i="12"/>
  <c r="S434" i="12"/>
  <c r="S433" i="12"/>
  <c r="S432" i="12"/>
  <c r="S431" i="12"/>
  <c r="S430" i="12"/>
  <c r="S429" i="12"/>
  <c r="S428" i="12"/>
  <c r="S427" i="12"/>
  <c r="S426" i="12"/>
  <c r="S425" i="12"/>
  <c r="S424" i="12"/>
  <c r="S423" i="12"/>
  <c r="S422" i="12"/>
  <c r="S421" i="12"/>
  <c r="S420" i="12"/>
  <c r="S419" i="12"/>
  <c r="S418" i="12"/>
  <c r="S417" i="12"/>
  <c r="S416" i="12"/>
  <c r="S415" i="12"/>
  <c r="S414" i="12"/>
  <c r="S413" i="12"/>
  <c r="S412" i="12"/>
  <c r="S411" i="12"/>
  <c r="S410" i="12"/>
  <c r="S409" i="12"/>
  <c r="S408" i="12"/>
  <c r="S407" i="12"/>
  <c r="S406" i="12"/>
  <c r="S405" i="12"/>
  <c r="S404" i="12"/>
  <c r="S403" i="12"/>
  <c r="S402" i="12"/>
  <c r="S401" i="12"/>
  <c r="S400" i="12"/>
  <c r="S399" i="12"/>
  <c r="S398" i="12"/>
  <c r="S397" i="12"/>
  <c r="S396" i="12"/>
  <c r="S395" i="12"/>
  <c r="S394" i="12"/>
  <c r="S393" i="12"/>
  <c r="S392" i="12"/>
  <c r="S391" i="12"/>
  <c r="S390" i="12"/>
  <c r="S389" i="12"/>
  <c r="S388" i="12"/>
  <c r="S387" i="12"/>
  <c r="S386" i="12"/>
  <c r="S385" i="12"/>
  <c r="S384" i="12"/>
  <c r="S383" i="12"/>
  <c r="S382" i="12"/>
  <c r="S381" i="12"/>
  <c r="S380" i="12"/>
  <c r="S379" i="12"/>
  <c r="S378" i="12"/>
  <c r="S377" i="12"/>
  <c r="S376" i="12"/>
  <c r="S375" i="12"/>
  <c r="S374" i="12"/>
  <c r="S373" i="12"/>
  <c r="S372" i="12"/>
  <c r="S371" i="12"/>
  <c r="S370" i="12"/>
  <c r="S369" i="12"/>
  <c r="S368" i="12"/>
  <c r="S367" i="12"/>
  <c r="S366" i="12"/>
  <c r="S365" i="12"/>
  <c r="S364" i="12"/>
  <c r="S363" i="12"/>
  <c r="S362" i="12"/>
  <c r="S361" i="12"/>
  <c r="S360" i="12"/>
  <c r="S359" i="12"/>
  <c r="S358" i="12"/>
  <c r="S357" i="12"/>
  <c r="S356" i="12"/>
  <c r="S355" i="12"/>
  <c r="S354" i="12"/>
  <c r="S353" i="12"/>
  <c r="S352" i="12"/>
  <c r="S351" i="12"/>
  <c r="S350" i="12"/>
  <c r="S349" i="12"/>
  <c r="S348" i="12"/>
  <c r="S347" i="12"/>
  <c r="S346" i="12"/>
  <c r="S345" i="12"/>
  <c r="S344" i="12"/>
  <c r="S343" i="12"/>
  <c r="S342" i="12"/>
  <c r="S341" i="12"/>
  <c r="S340" i="12"/>
  <c r="S339" i="12"/>
  <c r="S338" i="12"/>
  <c r="S337" i="12"/>
  <c r="S336" i="12"/>
  <c r="S335" i="12"/>
  <c r="S334" i="12"/>
  <c r="S333" i="12"/>
  <c r="S332" i="12"/>
  <c r="S331" i="12"/>
  <c r="S330" i="12"/>
  <c r="S329" i="12"/>
  <c r="S328" i="12"/>
  <c r="S327" i="12"/>
  <c r="S326" i="12"/>
  <c r="S325" i="12"/>
  <c r="S324" i="12"/>
  <c r="S323" i="12"/>
  <c r="S322" i="12"/>
  <c r="S321" i="12"/>
  <c r="S320" i="12"/>
  <c r="S319" i="12"/>
  <c r="S318" i="12"/>
  <c r="S317" i="12"/>
  <c r="S316" i="12"/>
  <c r="S315" i="12"/>
  <c r="S314" i="12"/>
  <c r="S313" i="12"/>
  <c r="S312" i="12"/>
  <c r="S311" i="12"/>
  <c r="S310" i="12"/>
  <c r="S309" i="12"/>
  <c r="S308" i="12"/>
  <c r="S307" i="12"/>
  <c r="S306" i="12"/>
  <c r="S305" i="12"/>
  <c r="S304" i="12"/>
  <c r="S303" i="12"/>
  <c r="S302" i="12"/>
  <c r="S301" i="12"/>
  <c r="S300" i="12"/>
  <c r="S299" i="12"/>
  <c r="S298" i="12"/>
  <c r="S297" i="12"/>
  <c r="S296" i="12"/>
  <c r="S295" i="12"/>
  <c r="S293" i="12"/>
  <c r="S292" i="12"/>
  <c r="S291" i="12"/>
  <c r="S290" i="12"/>
  <c r="S289" i="12"/>
  <c r="S288" i="12"/>
  <c r="S287" i="12"/>
  <c r="S286" i="12"/>
  <c r="S285" i="12"/>
  <c r="S284" i="12"/>
  <c r="S283" i="12"/>
  <c r="S282" i="12"/>
  <c r="S281" i="12"/>
  <c r="S280" i="12"/>
  <c r="S279" i="12"/>
  <c r="S278" i="12"/>
  <c r="S277" i="12"/>
  <c r="S276" i="12"/>
  <c r="S275" i="12"/>
  <c r="S274" i="12"/>
  <c r="S273" i="12"/>
  <c r="S272" i="12"/>
  <c r="S271" i="12"/>
  <c r="S270" i="12"/>
  <c r="S269" i="12"/>
  <c r="S268" i="12"/>
  <c r="S267" i="12"/>
  <c r="S266" i="12"/>
  <c r="S265" i="12"/>
  <c r="S264" i="12"/>
  <c r="S263" i="12"/>
  <c r="S262" i="12"/>
  <c r="S261" i="12"/>
  <c r="S260" i="12"/>
  <c r="S259" i="12"/>
  <c r="S258" i="12"/>
  <c r="S257" i="12"/>
  <c r="S256" i="12"/>
  <c r="S254" i="12"/>
  <c r="S253" i="12"/>
  <c r="S252" i="12"/>
  <c r="S251" i="12"/>
  <c r="S250" i="12"/>
  <c r="S249" i="12"/>
  <c r="S248" i="12"/>
  <c r="S247" i="12"/>
  <c r="S246" i="12"/>
  <c r="S244" i="12"/>
  <c r="S243" i="12"/>
  <c r="S242" i="12"/>
  <c r="S241" i="12"/>
  <c r="S240" i="12"/>
  <c r="S239" i="12"/>
  <c r="S238" i="12"/>
  <c r="S237" i="12"/>
  <c r="S236" i="12"/>
  <c r="S235" i="12"/>
  <c r="S234" i="12"/>
  <c r="S233" i="12"/>
  <c r="S232" i="12"/>
  <c r="S231" i="12"/>
  <c r="S230" i="12"/>
  <c r="S229" i="12"/>
  <c r="S228" i="12"/>
  <c r="S227" i="12"/>
  <c r="S226" i="12"/>
  <c r="S225" i="12"/>
  <c r="S224" i="12"/>
  <c r="S223" i="12"/>
  <c r="S222" i="12"/>
  <c r="S221" i="12"/>
  <c r="S220" i="12"/>
  <c r="S219" i="12"/>
  <c r="S218" i="12"/>
  <c r="S217" i="12"/>
  <c r="S216" i="12"/>
  <c r="S215" i="12"/>
  <c r="S214" i="12"/>
  <c r="S213" i="12"/>
  <c r="S212" i="12"/>
  <c r="S211" i="12"/>
  <c r="S210" i="12"/>
  <c r="S209" i="12"/>
  <c r="S208" i="12"/>
  <c r="S207" i="12"/>
  <c r="S206" i="12"/>
  <c r="S205" i="12"/>
  <c r="S204" i="12"/>
  <c r="S203" i="12"/>
  <c r="S202" i="12"/>
  <c r="S201" i="12"/>
  <c r="S200" i="12"/>
  <c r="S199" i="12"/>
  <c r="S198" i="12"/>
  <c r="S197" i="12"/>
  <c r="S196" i="12"/>
  <c r="S195" i="12"/>
  <c r="S194" i="12"/>
  <c r="S193" i="12"/>
  <c r="S192" i="12"/>
  <c r="S191" i="12"/>
  <c r="S190" i="12"/>
  <c r="S189" i="12"/>
  <c r="S188" i="12"/>
  <c r="S187" i="12"/>
  <c r="S186" i="12"/>
  <c r="S185" i="12"/>
  <c r="S184" i="12"/>
  <c r="S183" i="12"/>
  <c r="S182" i="12"/>
  <c r="S181" i="12"/>
  <c r="S180" i="12"/>
  <c r="S179" i="12"/>
  <c r="S178" i="12"/>
  <c r="S177" i="12"/>
  <c r="S176" i="12"/>
  <c r="S175" i="12"/>
  <c r="S174" i="12"/>
  <c r="S173" i="12"/>
  <c r="S172" i="12"/>
  <c r="S171" i="12"/>
  <c r="S170" i="12"/>
  <c r="S169" i="12"/>
  <c r="S168" i="12"/>
  <c r="S167" i="12"/>
  <c r="S166" i="12"/>
  <c r="S165" i="12"/>
  <c r="S164" i="12"/>
  <c r="S163" i="12"/>
  <c r="S162" i="12"/>
  <c r="S161" i="12"/>
  <c r="S160" i="12"/>
  <c r="S159" i="12"/>
  <c r="S158" i="12"/>
  <c r="S157" i="12"/>
  <c r="S156" i="12"/>
  <c r="S155" i="12"/>
  <c r="S154" i="12"/>
  <c r="S153" i="12"/>
  <c r="S152" i="12"/>
  <c r="S151" i="12"/>
  <c r="S150" i="12"/>
  <c r="S149" i="12"/>
  <c r="S148" i="12"/>
  <c r="S147" i="12"/>
  <c r="S146" i="12"/>
  <c r="S145" i="12"/>
  <c r="S144" i="12"/>
  <c r="S143" i="12"/>
  <c r="S142" i="12"/>
  <c r="S141" i="12"/>
  <c r="S140" i="12"/>
  <c r="S139" i="12"/>
  <c r="S138" i="12"/>
  <c r="S137" i="12"/>
  <c r="S136" i="12"/>
  <c r="S135" i="12"/>
  <c r="S134" i="12"/>
  <c r="S133" i="12"/>
  <c r="S132" i="12"/>
  <c r="S131" i="12"/>
  <c r="S130" i="12"/>
  <c r="S129" i="12"/>
  <c r="S128" i="12"/>
  <c r="S127" i="12"/>
  <c r="S126" i="12"/>
  <c r="S125" i="12"/>
  <c r="S124" i="12"/>
  <c r="S123" i="12"/>
  <c r="S122" i="12"/>
  <c r="S121" i="12"/>
  <c r="S120" i="12"/>
  <c r="S119" i="12"/>
  <c r="S118" i="12"/>
  <c r="S117" i="12"/>
  <c r="S116" i="12"/>
  <c r="S115" i="12"/>
  <c r="S114" i="12"/>
  <c r="S113" i="12"/>
  <c r="S112" i="12"/>
  <c r="S111" i="12"/>
  <c r="S110" i="12"/>
  <c r="S109" i="12"/>
  <c r="S108" i="12"/>
  <c r="S107" i="12"/>
  <c r="S105" i="12"/>
  <c r="S104" i="12"/>
  <c r="S103" i="12"/>
  <c r="S102" i="12"/>
  <c r="S101" i="12"/>
  <c r="S99" i="12"/>
  <c r="S98" i="12"/>
  <c r="S97" i="12"/>
  <c r="S95" i="12"/>
  <c r="S94" i="12"/>
  <c r="S93" i="12"/>
  <c r="S92" i="12"/>
  <c r="S91" i="12"/>
  <c r="S90" i="12"/>
  <c r="S87" i="12"/>
  <c r="S86" i="12"/>
  <c r="S85" i="12"/>
  <c r="S84" i="12"/>
  <c r="S83" i="12"/>
  <c r="S80" i="12"/>
  <c r="S79" i="12"/>
  <c r="S78" i="12"/>
  <c r="S77" i="12"/>
  <c r="S76" i="12"/>
  <c r="S75" i="12"/>
  <c r="S74" i="12"/>
  <c r="S73" i="12"/>
  <c r="S72" i="12"/>
  <c r="S71" i="12"/>
  <c r="S70" i="12"/>
  <c r="S69" i="12"/>
  <c r="S68" i="12"/>
  <c r="S67" i="12"/>
  <c r="S66" i="12"/>
  <c r="S65" i="12"/>
  <c r="S64" i="12"/>
  <c r="S63" i="12"/>
  <c r="S62" i="12"/>
  <c r="S61" i="12"/>
  <c r="S81" i="12"/>
  <c r="S60" i="12"/>
  <c r="S59" i="12"/>
  <c r="S58" i="12"/>
  <c r="S57" i="12"/>
  <c r="S56" i="12"/>
  <c r="S55" i="12"/>
  <c r="S54" i="12"/>
  <c r="S53" i="12"/>
  <c r="S52" i="12"/>
  <c r="S51" i="12"/>
  <c r="S50" i="12"/>
  <c r="S49" i="12"/>
  <c r="S48" i="12"/>
  <c r="S47" i="12"/>
  <c r="S46" i="12"/>
  <c r="S45" i="12"/>
  <c r="S44" i="12"/>
  <c r="S43" i="12"/>
  <c r="S42" i="12"/>
  <c r="S41" i="12"/>
  <c r="S40" i="12"/>
  <c r="S39" i="12"/>
  <c r="S37" i="12"/>
  <c r="S36" i="12"/>
  <c r="S35" i="12"/>
  <c r="S34" i="12"/>
  <c r="S33" i="12"/>
  <c r="S32" i="12"/>
  <c r="S31" i="12"/>
  <c r="S30" i="12"/>
  <c r="S29" i="12"/>
  <c r="S28" i="12"/>
  <c r="S27" i="12"/>
  <c r="S26" i="12"/>
  <c r="S25" i="12"/>
  <c r="S24" i="12"/>
  <c r="S23" i="12"/>
  <c r="S22" i="12"/>
  <c r="S21" i="12"/>
  <c r="S20" i="12"/>
  <c r="Q12" i="12"/>
  <c r="O12" i="12"/>
  <c r="M12" i="12"/>
  <c r="B12" i="12"/>
  <c r="Q11" i="12"/>
  <c r="O11" i="12"/>
  <c r="M11" i="12"/>
  <c r="B11" i="12"/>
  <c r="Q9" i="12"/>
  <c r="O9" i="12"/>
  <c r="M9" i="12"/>
  <c r="B9" i="12"/>
  <c r="Q8" i="12"/>
  <c r="O8" i="12"/>
  <c r="M8" i="12"/>
  <c r="B8" i="12"/>
  <c r="O20" i="11"/>
  <c r="N20" i="11"/>
  <c r="M20" i="11"/>
  <c r="L20" i="11"/>
  <c r="J20" i="11"/>
  <c r="P20" i="11"/>
  <c r="S480" i="11"/>
  <c r="I480" i="11"/>
  <c r="S479" i="11"/>
  <c r="K479" i="11"/>
  <c r="I479" i="11"/>
  <c r="S478" i="11"/>
  <c r="S477" i="11"/>
  <c r="I477" i="11"/>
  <c r="S476" i="11"/>
  <c r="H475" i="11"/>
  <c r="S475" i="11" s="1"/>
  <c r="S474" i="11"/>
  <c r="H473" i="11"/>
  <c r="S473" i="11" s="1"/>
  <c r="H472" i="11"/>
  <c r="S472" i="11" s="1"/>
  <c r="S471" i="11"/>
  <c r="S470" i="11"/>
  <c r="H469" i="11"/>
  <c r="S469" i="11" s="1"/>
  <c r="S468" i="11"/>
  <c r="I468" i="11"/>
  <c r="S467" i="11"/>
  <c r="I467" i="11"/>
  <c r="K467" i="11" s="1"/>
  <c r="I466" i="11"/>
  <c r="K466" i="11" s="1"/>
  <c r="H466" i="11"/>
  <c r="S466" i="11" s="1"/>
  <c r="H465" i="11"/>
  <c r="S465" i="11" s="1"/>
  <c r="H464" i="11"/>
  <c r="S464" i="11" s="1"/>
  <c r="H463" i="11"/>
  <c r="S463" i="11" s="1"/>
  <c r="H462" i="11"/>
  <c r="S462" i="11" s="1"/>
  <c r="S461" i="11"/>
  <c r="S460" i="11"/>
  <c r="I460" i="11"/>
  <c r="H459" i="11"/>
  <c r="S459" i="11" s="1"/>
  <c r="H458" i="11"/>
  <c r="S458" i="11" s="1"/>
  <c r="H457" i="11"/>
  <c r="S457" i="11" s="1"/>
  <c r="H456" i="11"/>
  <c r="S456" i="11" s="1"/>
  <c r="S455" i="11"/>
  <c r="I455" i="11"/>
  <c r="K455" i="11" s="1"/>
  <c r="H454" i="11"/>
  <c r="S454" i="11" s="1"/>
  <c r="S453" i="11"/>
  <c r="S452" i="11"/>
  <c r="K452" i="11"/>
  <c r="I452" i="11"/>
  <c r="S451" i="11"/>
  <c r="I451" i="11"/>
  <c r="S450" i="11"/>
  <c r="I450" i="11"/>
  <c r="K450" i="11" s="1"/>
  <c r="S449" i="11"/>
  <c r="I449" i="11"/>
  <c r="S448" i="11"/>
  <c r="S447" i="11"/>
  <c r="H447" i="11"/>
  <c r="S446" i="11"/>
  <c r="I446" i="11"/>
  <c r="S445" i="11"/>
  <c r="I445" i="11"/>
  <c r="K445" i="11" s="1"/>
  <c r="S444" i="11"/>
  <c r="I444" i="11"/>
  <c r="K444" i="11" s="1"/>
  <c r="S443" i="11"/>
  <c r="K443" i="11"/>
  <c r="I443" i="11"/>
  <c r="S442" i="11"/>
  <c r="I442" i="11"/>
  <c r="S441" i="11"/>
  <c r="I441" i="11"/>
  <c r="S440" i="11"/>
  <c r="I440" i="11"/>
  <c r="H439" i="11"/>
  <c r="S439" i="11" s="1"/>
  <c r="H438" i="11"/>
  <c r="S438" i="11" s="1"/>
  <c r="H437" i="11"/>
  <c r="S437" i="11" s="1"/>
  <c r="H436" i="11"/>
  <c r="S436" i="11" s="1"/>
  <c r="S435" i="11"/>
  <c r="S434" i="11"/>
  <c r="H433" i="11"/>
  <c r="S433" i="11" s="1"/>
  <c r="H432" i="11"/>
  <c r="S432" i="11" s="1"/>
  <c r="S431" i="11"/>
  <c r="I431" i="11"/>
  <c r="K431" i="11" s="1"/>
  <c r="S430" i="11"/>
  <c r="K430" i="11"/>
  <c r="I430" i="11"/>
  <c r="H429" i="11"/>
  <c r="S429" i="11" s="1"/>
  <c r="H428" i="11"/>
  <c r="S428" i="11" s="1"/>
  <c r="H427" i="11"/>
  <c r="S427" i="11" s="1"/>
  <c r="S426" i="11"/>
  <c r="K426" i="11"/>
  <c r="I426" i="11"/>
  <c r="S425" i="11"/>
  <c r="H425" i="11"/>
  <c r="K424" i="11"/>
  <c r="H424" i="11" s="1"/>
  <c r="S424" i="11" s="1"/>
  <c r="S423" i="11"/>
  <c r="K423" i="11"/>
  <c r="I423" i="11"/>
  <c r="S422" i="11"/>
  <c r="S421" i="11"/>
  <c r="I421" i="11"/>
  <c r="K421" i="11" s="1"/>
  <c r="H420" i="11"/>
  <c r="S420" i="11" s="1"/>
  <c r="S419" i="11"/>
  <c r="K419" i="11"/>
  <c r="I419" i="11"/>
  <c r="S418" i="11"/>
  <c r="I418" i="11"/>
  <c r="S417" i="11"/>
  <c r="I417" i="11"/>
  <c r="K417" i="11" s="1"/>
  <c r="H416" i="11"/>
  <c r="S416" i="11" s="1"/>
  <c r="S415" i="11"/>
  <c r="K414" i="11"/>
  <c r="I414" i="11"/>
  <c r="K413" i="11"/>
  <c r="I413" i="11"/>
  <c r="H412" i="11"/>
  <c r="I411" i="11"/>
  <c r="K410" i="11"/>
  <c r="I410" i="11"/>
  <c r="K409" i="11"/>
  <c r="I408" i="11"/>
  <c r="H407" i="11"/>
  <c r="I406" i="11"/>
  <c r="K406" i="11" s="1"/>
  <c r="K405" i="11"/>
  <c r="I405" i="11"/>
  <c r="I404" i="11"/>
  <c r="K404" i="11" s="1"/>
  <c r="H403" i="11"/>
  <c r="S402" i="11"/>
  <c r="H402" i="11"/>
  <c r="H401" i="11"/>
  <c r="S315" i="11" s="1"/>
  <c r="H400" i="11"/>
  <c r="S400" i="11" s="1"/>
  <c r="H399" i="11"/>
  <c r="S399" i="11" s="1"/>
  <c r="H398" i="11"/>
  <c r="I397" i="11"/>
  <c r="S396" i="11"/>
  <c r="I396" i="11"/>
  <c r="K396" i="11" s="1"/>
  <c r="I395" i="11"/>
  <c r="K395" i="11" s="1"/>
  <c r="S394" i="11"/>
  <c r="K394" i="11"/>
  <c r="I394" i="11"/>
  <c r="S393" i="11"/>
  <c r="I393" i="11"/>
  <c r="I392" i="11"/>
  <c r="K392" i="11" s="1"/>
  <c r="K391" i="11"/>
  <c r="I391" i="11"/>
  <c r="S390" i="11"/>
  <c r="K390" i="11"/>
  <c r="I390" i="11"/>
  <c r="I389" i="11"/>
  <c r="I388" i="11"/>
  <c r="K388" i="11" s="1"/>
  <c r="K387" i="11"/>
  <c r="S386" i="11"/>
  <c r="K386" i="11"/>
  <c r="S385" i="11"/>
  <c r="I385" i="11"/>
  <c r="K385" i="11" s="1"/>
  <c r="S384" i="11"/>
  <c r="I384" i="11"/>
  <c r="K383" i="11"/>
  <c r="H382" i="11"/>
  <c r="K381" i="11"/>
  <c r="I381" i="11"/>
  <c r="H380" i="11"/>
  <c r="S380" i="11" s="1"/>
  <c r="H379" i="11"/>
  <c r="H378" i="11"/>
  <c r="S378" i="11" s="1"/>
  <c r="H377" i="11"/>
  <c r="H376" i="11"/>
  <c r="S376" i="11" s="1"/>
  <c r="H375" i="11"/>
  <c r="H374" i="11"/>
  <c r="H373" i="11"/>
  <c r="S373" i="11" s="1"/>
  <c r="H372" i="11"/>
  <c r="S372" i="11" s="1"/>
  <c r="H371" i="11"/>
  <c r="S371" i="11" s="1"/>
  <c r="I370" i="11"/>
  <c r="K370" i="11" s="1"/>
  <c r="S369" i="11"/>
  <c r="I369" i="11"/>
  <c r="K369" i="11" s="1"/>
  <c r="H368" i="11"/>
  <c r="H367" i="11"/>
  <c r="S367" i="11" s="1"/>
  <c r="H366" i="11"/>
  <c r="S366" i="11" s="1"/>
  <c r="H365" i="11"/>
  <c r="H364" i="11"/>
  <c r="S364" i="11" s="1"/>
  <c r="H363" i="11"/>
  <c r="H362" i="11"/>
  <c r="S362" i="11" s="1"/>
  <c r="S361" i="11"/>
  <c r="K361" i="11"/>
  <c r="I361" i="11"/>
  <c r="H360" i="11"/>
  <c r="S215" i="11" s="1"/>
  <c r="S359" i="11"/>
  <c r="I359" i="11"/>
  <c r="K359" i="11" s="1"/>
  <c r="S358" i="11"/>
  <c r="I358" i="11"/>
  <c r="S357" i="11"/>
  <c r="I357" i="11"/>
  <c r="K357" i="11" s="1"/>
  <c r="H356" i="11"/>
  <c r="S356" i="11" s="1"/>
  <c r="H355" i="11"/>
  <c r="S355" i="11" s="1"/>
  <c r="H354" i="11"/>
  <c r="H353" i="11"/>
  <c r="H352" i="11"/>
  <c r="H351" i="11"/>
  <c r="S350" i="11"/>
  <c r="I350" i="11"/>
  <c r="K349" i="11"/>
  <c r="H349" i="11" s="1"/>
  <c r="H348" i="11"/>
  <c r="S348" i="11" s="1"/>
  <c r="H347" i="11"/>
  <c r="S347" i="11" s="1"/>
  <c r="H346" i="11"/>
  <c r="S346" i="11" s="1"/>
  <c r="H345" i="11"/>
  <c r="S345" i="11" s="1"/>
  <c r="H344" i="11"/>
  <c r="S344" i="11" s="1"/>
  <c r="H343" i="11"/>
  <c r="H342" i="11"/>
  <c r="S342" i="11" s="1"/>
  <c r="H341" i="11"/>
  <c r="S341" i="11" s="1"/>
  <c r="H340" i="11"/>
  <c r="S340" i="11" s="1"/>
  <c r="H339" i="11"/>
  <c r="S339" i="11" s="1"/>
  <c r="H338" i="11"/>
  <c r="S338" i="11" s="1"/>
  <c r="S337" i="11"/>
  <c r="I337" i="11"/>
  <c r="K337" i="11" s="1"/>
  <c r="I336" i="11"/>
  <c r="K336" i="11" s="1"/>
  <c r="I335" i="11"/>
  <c r="K335" i="11" s="1"/>
  <c r="K334" i="11"/>
  <c r="I334" i="11"/>
  <c r="S333" i="11"/>
  <c r="I333" i="11"/>
  <c r="K333" i="11" s="1"/>
  <c r="S332" i="11"/>
  <c r="K332" i="11"/>
  <c r="H331" i="11"/>
  <c r="S331" i="11" s="1"/>
  <c r="H330" i="11"/>
  <c r="H329" i="11"/>
  <c r="S329" i="11" s="1"/>
  <c r="H328" i="11"/>
  <c r="S328" i="11" s="1"/>
  <c r="H327" i="11"/>
  <c r="S326" i="11"/>
  <c r="I326" i="11"/>
  <c r="K326" i="11" s="1"/>
  <c r="S325" i="11"/>
  <c r="S324" i="11"/>
  <c r="K323" i="11"/>
  <c r="S322" i="11"/>
  <c r="K322" i="11"/>
  <c r="S321" i="11"/>
  <c r="K321" i="11"/>
  <c r="I321" i="11"/>
  <c r="S320" i="11"/>
  <c r="I320" i="11"/>
  <c r="K320" i="11" s="1"/>
  <c r="S319" i="11"/>
  <c r="K319" i="11"/>
  <c r="K318" i="11"/>
  <c r="I318" i="11"/>
  <c r="S317" i="11"/>
  <c r="I317" i="11"/>
  <c r="K316" i="11"/>
  <c r="I315" i="11"/>
  <c r="K315" i="11" s="1"/>
  <c r="S314" i="11"/>
  <c r="I314" i="11"/>
  <c r="K314" i="11" s="1"/>
  <c r="H313" i="11"/>
  <c r="S313" i="11" s="1"/>
  <c r="S312" i="11"/>
  <c r="I312" i="11"/>
  <c r="S311" i="11"/>
  <c r="H310" i="11"/>
  <c r="S310" i="11" s="1"/>
  <c r="K309" i="11"/>
  <c r="I309" i="11"/>
  <c r="H308" i="11"/>
  <c r="S308" i="11" s="1"/>
  <c r="H307" i="11"/>
  <c r="S307" i="11" s="1"/>
  <c r="H306" i="11"/>
  <c r="H305" i="11"/>
  <c r="S305" i="11" s="1"/>
  <c r="H304" i="11"/>
  <c r="H303" i="11"/>
  <c r="S303" i="11" s="1"/>
  <c r="H302" i="11"/>
  <c r="S302" i="11" s="1"/>
  <c r="I301" i="11"/>
  <c r="H301" i="11"/>
  <c r="S301" i="11" s="1"/>
  <c r="I300" i="11"/>
  <c r="S299" i="11"/>
  <c r="K299" i="11"/>
  <c r="I299" i="11"/>
  <c r="S298" i="11"/>
  <c r="K298" i="11"/>
  <c r="I298" i="11"/>
  <c r="H297" i="11"/>
  <c r="S297" i="11" s="1"/>
  <c r="H296" i="11"/>
  <c r="S296" i="11" s="1"/>
  <c r="H295" i="11"/>
  <c r="K294" i="11"/>
  <c r="I293" i="11"/>
  <c r="K293" i="11" s="1"/>
  <c r="K291" i="11"/>
  <c r="I291" i="11"/>
  <c r="H290" i="11"/>
  <c r="S290" i="11" s="1"/>
  <c r="H289" i="11"/>
  <c r="S289" i="11" s="1"/>
  <c r="H288" i="11"/>
  <c r="S288" i="11" s="1"/>
  <c r="H287" i="11"/>
  <c r="H286" i="11"/>
  <c r="S286" i="11" s="1"/>
  <c r="S285" i="11"/>
  <c r="I285" i="11"/>
  <c r="K285" i="11" s="1"/>
  <c r="I284" i="11"/>
  <c r="K284" i="11" s="1"/>
  <c r="S283" i="11"/>
  <c r="I283" i="11"/>
  <c r="K283" i="11" s="1"/>
  <c r="S282" i="11"/>
  <c r="K282" i="11"/>
  <c r="I282" i="11"/>
  <c r="S281" i="11"/>
  <c r="I281" i="11"/>
  <c r="K281" i="11" s="1"/>
  <c r="S280" i="11"/>
  <c r="I280" i="11"/>
  <c r="K280" i="11" s="1"/>
  <c r="S279" i="11"/>
  <c r="I279" i="11"/>
  <c r="K279" i="11" s="1"/>
  <c r="H278" i="11"/>
  <c r="S278" i="11" s="1"/>
  <c r="H277" i="11"/>
  <c r="S277" i="11" s="1"/>
  <c r="H276" i="11"/>
  <c r="S276" i="11" s="1"/>
  <c r="H275" i="11"/>
  <c r="S275" i="11" s="1"/>
  <c r="H274" i="11"/>
  <c r="H273" i="11"/>
  <c r="S273" i="11" s="1"/>
  <c r="H272" i="11"/>
  <c r="S272" i="11" s="1"/>
  <c r="H271" i="11"/>
  <c r="S271" i="11" s="1"/>
  <c r="H270" i="11"/>
  <c r="S270" i="11" s="1"/>
  <c r="H269" i="11"/>
  <c r="S269" i="11" s="1"/>
  <c r="S268" i="11"/>
  <c r="H268" i="11"/>
  <c r="H267" i="11"/>
  <c r="S267" i="11" s="1"/>
  <c r="H266" i="11"/>
  <c r="S266" i="11" s="1"/>
  <c r="H265" i="11"/>
  <c r="H264" i="11"/>
  <c r="S264" i="11" s="1"/>
  <c r="H263" i="11"/>
  <c r="S263" i="11" s="1"/>
  <c r="H262" i="11"/>
  <c r="H261" i="11"/>
  <c r="S132" i="11" s="1"/>
  <c r="H260" i="11"/>
  <c r="S260" i="11" s="1"/>
  <c r="H259" i="11"/>
  <c r="S259" i="11" s="1"/>
  <c r="I258" i="11"/>
  <c r="K258" i="11" s="1"/>
  <c r="S257" i="11"/>
  <c r="I256" i="11"/>
  <c r="I255" i="11"/>
  <c r="H255" i="11"/>
  <c r="S255" i="11" s="1"/>
  <c r="H254" i="11"/>
  <c r="S254" i="11" s="1"/>
  <c r="H253" i="11"/>
  <c r="S253" i="11" s="1"/>
  <c r="I252" i="11"/>
  <c r="K252" i="11" s="1"/>
  <c r="H251" i="11"/>
  <c r="S251" i="11" s="1"/>
  <c r="H250" i="11"/>
  <c r="S250" i="11" s="1"/>
  <c r="H249" i="11"/>
  <c r="S249" i="11" s="1"/>
  <c r="S248" i="11"/>
  <c r="K248" i="11"/>
  <c r="I248" i="11"/>
  <c r="H247" i="11"/>
  <c r="S247" i="11" s="1"/>
  <c r="S246" i="11"/>
  <c r="I246" i="11"/>
  <c r="K246" i="11" s="1"/>
  <c r="S245" i="11"/>
  <c r="I245" i="11"/>
  <c r="H245" i="11"/>
  <c r="H244" i="11"/>
  <c r="S244" i="11" s="1"/>
  <c r="H243" i="11"/>
  <c r="H242" i="11"/>
  <c r="S242" i="11" s="1"/>
  <c r="H241" i="11"/>
  <c r="H240" i="11"/>
  <c r="S240" i="11" s="1"/>
  <c r="H239" i="11"/>
  <c r="S239" i="11" s="1"/>
  <c r="H238" i="11"/>
  <c r="S238" i="11" s="1"/>
  <c r="H237" i="11"/>
  <c r="S237" i="11" s="1"/>
  <c r="H236" i="11"/>
  <c r="S236" i="11" s="1"/>
  <c r="H235" i="11"/>
  <c r="H234" i="11"/>
  <c r="S234" i="11" s="1"/>
  <c r="H233" i="11"/>
  <c r="S233" i="11" s="1"/>
  <c r="H232" i="11"/>
  <c r="H231" i="11"/>
  <c r="S231" i="11" s="1"/>
  <c r="H230" i="11"/>
  <c r="H229" i="11"/>
  <c r="H228" i="11"/>
  <c r="H227" i="11"/>
  <c r="H226" i="11"/>
  <c r="S226" i="11" s="1"/>
  <c r="H225" i="11"/>
  <c r="S225" i="11" s="1"/>
  <c r="H224" i="11"/>
  <c r="S224" i="11" s="1"/>
  <c r="H223" i="11"/>
  <c r="S223" i="11" s="1"/>
  <c r="S222" i="11"/>
  <c r="I222" i="11"/>
  <c r="H221" i="11"/>
  <c r="H220" i="11"/>
  <c r="S220" i="11" s="1"/>
  <c r="H219" i="11"/>
  <c r="S219" i="11" s="1"/>
  <c r="S218" i="11"/>
  <c r="H218" i="11"/>
  <c r="H217" i="11"/>
  <c r="S217" i="11" s="1"/>
  <c r="H216" i="11"/>
  <c r="S216" i="11" s="1"/>
  <c r="I215" i="11"/>
  <c r="S214" i="11"/>
  <c r="S213" i="11"/>
  <c r="S212" i="11"/>
  <c r="I212" i="11"/>
  <c r="K212" i="11" s="1"/>
  <c r="I211" i="11"/>
  <c r="H211" i="11"/>
  <c r="K211" i="11" s="1"/>
  <c r="H210" i="11"/>
  <c r="S209" i="11"/>
  <c r="K209" i="11"/>
  <c r="H208" i="11"/>
  <c r="S208" i="11" s="1"/>
  <c r="S207" i="11"/>
  <c r="I207" i="11"/>
  <c r="K207" i="11" s="1"/>
  <c r="S206" i="11"/>
  <c r="K206" i="11"/>
  <c r="I206" i="11"/>
  <c r="S205" i="11"/>
  <c r="I205" i="11"/>
  <c r="K205" i="11" s="1"/>
  <c r="S204" i="11"/>
  <c r="K204" i="11"/>
  <c r="I204" i="11"/>
  <c r="I203" i="11"/>
  <c r="K203" i="11" s="1"/>
  <c r="S202" i="11"/>
  <c r="K202" i="11"/>
  <c r="J202" i="11"/>
  <c r="N202" i="11" s="1"/>
  <c r="I202" i="11"/>
  <c r="H201" i="11"/>
  <c r="S201" i="11" s="1"/>
  <c r="H200" i="11"/>
  <c r="S200" i="11" s="1"/>
  <c r="K199" i="11"/>
  <c r="L199" i="11" s="1"/>
  <c r="I199" i="11"/>
  <c r="S198" i="11"/>
  <c r="I198" i="11"/>
  <c r="K198" i="11" s="1"/>
  <c r="S197" i="11"/>
  <c r="S196" i="11"/>
  <c r="K196" i="11"/>
  <c r="I196" i="11"/>
  <c r="J196" i="11" s="1"/>
  <c r="N196" i="11" s="1"/>
  <c r="H195" i="11"/>
  <c r="S195" i="11" s="1"/>
  <c r="S194" i="11"/>
  <c r="K194" i="11"/>
  <c r="H193" i="11"/>
  <c r="S193" i="11" s="1"/>
  <c r="H192" i="11"/>
  <c r="S192" i="11" s="1"/>
  <c r="S191" i="11"/>
  <c r="I191" i="11"/>
  <c r="H190" i="11"/>
  <c r="S190" i="11" s="1"/>
  <c r="S189" i="11"/>
  <c r="H188" i="11"/>
  <c r="S188" i="11" s="1"/>
  <c r="S187" i="11"/>
  <c r="S186" i="11"/>
  <c r="I185" i="11"/>
  <c r="S184" i="11"/>
  <c r="H183" i="11"/>
  <c r="H182" i="11"/>
  <c r="S182" i="11" s="1"/>
  <c r="H180" i="11"/>
  <c r="S180" i="11" s="1"/>
  <c r="H179" i="11"/>
  <c r="S178" i="11"/>
  <c r="H177" i="11"/>
  <c r="S382" i="11" s="1"/>
  <c r="H176" i="11"/>
  <c r="H175" i="11"/>
  <c r="S175" i="11" s="1"/>
  <c r="H174" i="11"/>
  <c r="S174" i="11" s="1"/>
  <c r="H173" i="11"/>
  <c r="S173" i="11" s="1"/>
  <c r="S171" i="11"/>
  <c r="H170" i="11"/>
  <c r="S170" i="11" s="1"/>
  <c r="S168" i="11"/>
  <c r="H167" i="11"/>
  <c r="S167" i="11" s="1"/>
  <c r="S166" i="11"/>
  <c r="S165" i="11"/>
  <c r="K164" i="11"/>
  <c r="L164" i="11" s="1"/>
  <c r="S163" i="11"/>
  <c r="K162" i="11"/>
  <c r="S161" i="11"/>
  <c r="K161" i="11"/>
  <c r="S160" i="11"/>
  <c r="S159" i="11"/>
  <c r="I159" i="11"/>
  <c r="H158" i="11"/>
  <c r="S407" i="11" s="1"/>
  <c r="S156" i="11"/>
  <c r="H155" i="11"/>
  <c r="S391" i="11" s="1"/>
  <c r="S154" i="11"/>
  <c r="S153" i="11"/>
  <c r="K153" i="11"/>
  <c r="H153" i="11" s="1"/>
  <c r="K152" i="11"/>
  <c r="H152" i="11"/>
  <c r="S152" i="11" s="1"/>
  <c r="H151" i="11"/>
  <c r="S383" i="11" s="1"/>
  <c r="S150" i="11"/>
  <c r="S148" i="11"/>
  <c r="I148" i="11"/>
  <c r="K148" i="11" s="1"/>
  <c r="L148" i="11" s="1"/>
  <c r="H147" i="11"/>
  <c r="S147" i="11" s="1"/>
  <c r="H146" i="11"/>
  <c r="S146" i="11" s="1"/>
  <c r="S145" i="11"/>
  <c r="K145" i="11"/>
  <c r="I145" i="11"/>
  <c r="J145" i="11" s="1"/>
  <c r="N145" i="11" s="1"/>
  <c r="S144" i="11"/>
  <c r="I144" i="11"/>
  <c r="S143" i="11"/>
  <c r="K143" i="11"/>
  <c r="I143" i="11"/>
  <c r="J143" i="11" s="1"/>
  <c r="N143" i="11" s="1"/>
  <c r="S142" i="11"/>
  <c r="I142" i="11"/>
  <c r="I140" i="11"/>
  <c r="K140" i="11" s="1"/>
  <c r="L140" i="11" s="1"/>
  <c r="S139" i="11"/>
  <c r="S138" i="11"/>
  <c r="H137" i="11"/>
  <c r="S137" i="11" s="1"/>
  <c r="J136" i="11"/>
  <c r="N136" i="11" s="1"/>
  <c r="H136" i="11"/>
  <c r="S136" i="11" s="1"/>
  <c r="L135" i="11"/>
  <c r="O135" i="11" s="1"/>
  <c r="H135" i="11"/>
  <c r="S135" i="11" s="1"/>
  <c r="S134" i="11"/>
  <c r="I133" i="11"/>
  <c r="K133" i="11" s="1"/>
  <c r="L133" i="11" s="1"/>
  <c r="K132" i="11"/>
  <c r="L132" i="11" s="1"/>
  <c r="I132" i="11"/>
  <c r="J132" i="11" s="1"/>
  <c r="N132" i="11" s="1"/>
  <c r="S131" i="11"/>
  <c r="K131" i="11"/>
  <c r="L131" i="11" s="1"/>
  <c r="J131" i="11"/>
  <c r="N131" i="11" s="1"/>
  <c r="I131" i="11"/>
  <c r="L130" i="11"/>
  <c r="O130" i="11" s="1"/>
  <c r="H130" i="11"/>
  <c r="S130" i="11" s="1"/>
  <c r="S129" i="11"/>
  <c r="I129" i="11"/>
  <c r="K129" i="11" s="1"/>
  <c r="L129" i="11" s="1"/>
  <c r="H128" i="11"/>
  <c r="S126" i="11"/>
  <c r="K125" i="11"/>
  <c r="L125" i="11" s="1"/>
  <c r="J125" i="11"/>
  <c r="N125" i="11" s="1"/>
  <c r="I125" i="11"/>
  <c r="S124" i="11"/>
  <c r="K124" i="11"/>
  <c r="L124" i="11" s="1"/>
  <c r="O124" i="11" s="1"/>
  <c r="S123" i="11"/>
  <c r="I123" i="11"/>
  <c r="K123" i="11" s="1"/>
  <c r="L123" i="11" s="1"/>
  <c r="H122" i="11"/>
  <c r="S122" i="11" s="1"/>
  <c r="H121" i="11"/>
  <c r="S121" i="11" s="1"/>
  <c r="S120" i="11"/>
  <c r="S119" i="11"/>
  <c r="S118" i="11"/>
  <c r="L117" i="11"/>
  <c r="O117" i="11" s="1"/>
  <c r="H117" i="11"/>
  <c r="S117" i="11" s="1"/>
  <c r="H116" i="11"/>
  <c r="S116" i="11" s="1"/>
  <c r="S115" i="11"/>
  <c r="H114" i="11"/>
  <c r="S114" i="11" s="1"/>
  <c r="H113" i="11"/>
  <c r="S113" i="11" s="1"/>
  <c r="H112" i="11"/>
  <c r="S112" i="11" s="1"/>
  <c r="S111" i="11"/>
  <c r="S110" i="11"/>
  <c r="K110" i="11"/>
  <c r="L110" i="11" s="1"/>
  <c r="L109" i="11"/>
  <c r="O109" i="11" s="1"/>
  <c r="H109" i="11"/>
  <c r="S109" i="11" s="1"/>
  <c r="S108" i="11"/>
  <c r="H107" i="11"/>
  <c r="S107" i="11" s="1"/>
  <c r="K106" i="11"/>
  <c r="L106" i="11" s="1"/>
  <c r="J106" i="11"/>
  <c r="N106" i="11" s="1"/>
  <c r="L105" i="11"/>
  <c r="O105" i="11" s="1"/>
  <c r="K105" i="11"/>
  <c r="H105" i="11"/>
  <c r="S105" i="11" s="1"/>
  <c r="S104" i="11"/>
  <c r="S103" i="11"/>
  <c r="S102" i="11"/>
  <c r="K102" i="11"/>
  <c r="L102" i="11" s="1"/>
  <c r="I102" i="11"/>
  <c r="J102" i="11" s="1"/>
  <c r="N102" i="11" s="1"/>
  <c r="S101" i="11"/>
  <c r="K100" i="11"/>
  <c r="L100" i="11" s="1"/>
  <c r="J100" i="11"/>
  <c r="N100" i="11" s="1"/>
  <c r="I98" i="11"/>
  <c r="J98" i="11" s="1"/>
  <c r="N98" i="11" s="1"/>
  <c r="H98" i="11"/>
  <c r="S98" i="11" s="1"/>
  <c r="I97" i="11"/>
  <c r="J97" i="11" s="1"/>
  <c r="N97" i="11" s="1"/>
  <c r="H97" i="11"/>
  <c r="K97" i="11" s="1"/>
  <c r="L97" i="11" s="1"/>
  <c r="I96" i="11"/>
  <c r="J96" i="11" s="1"/>
  <c r="N96" i="11" s="1"/>
  <c r="H96" i="11"/>
  <c r="J95" i="11"/>
  <c r="N95" i="11" s="1"/>
  <c r="H95" i="11"/>
  <c r="S94" i="11"/>
  <c r="K93" i="11"/>
  <c r="H93" i="11" s="1"/>
  <c r="S93" i="11" s="1"/>
  <c r="K92" i="11"/>
  <c r="L92" i="11" s="1"/>
  <c r="J92" i="11"/>
  <c r="N92" i="11" s="1"/>
  <c r="L91" i="11"/>
  <c r="O91" i="11" s="1"/>
  <c r="K91" i="11"/>
  <c r="H91" i="11"/>
  <c r="S90" i="11"/>
  <c r="K90" i="11"/>
  <c r="L90" i="11" s="1"/>
  <c r="I90" i="11"/>
  <c r="J90" i="11" s="1"/>
  <c r="N90" i="11" s="1"/>
  <c r="K89" i="11"/>
  <c r="H89" i="11" s="1"/>
  <c r="S89" i="11" s="1"/>
  <c r="K88" i="11"/>
  <c r="L88" i="11" s="1"/>
  <c r="J88" i="11"/>
  <c r="N88" i="11" s="1"/>
  <c r="S87" i="11"/>
  <c r="K85" i="11"/>
  <c r="S84" i="11"/>
  <c r="H83" i="11"/>
  <c r="S83" i="11" s="1"/>
  <c r="S82" i="11"/>
  <c r="I82" i="11"/>
  <c r="J82" i="11" s="1"/>
  <c r="N82" i="11" s="1"/>
  <c r="H82" i="11"/>
  <c r="H80" i="11"/>
  <c r="H79" i="11"/>
  <c r="H78" i="11"/>
  <c r="S252" i="11" s="1"/>
  <c r="J77" i="11"/>
  <c r="N77" i="11" s="1"/>
  <c r="H77" i="11"/>
  <c r="L76" i="11"/>
  <c r="O76" i="11" s="1"/>
  <c r="H76" i="11"/>
  <c r="S76" i="11" s="1"/>
  <c r="H75" i="11"/>
  <c r="S75" i="11" s="1"/>
  <c r="K74" i="11"/>
  <c r="S73" i="11"/>
  <c r="I71" i="11"/>
  <c r="J71" i="11" s="1"/>
  <c r="N71" i="11" s="1"/>
  <c r="H71" i="11"/>
  <c r="S395" i="11" s="1"/>
  <c r="L70" i="11"/>
  <c r="H70" i="11"/>
  <c r="S70" i="11" s="1"/>
  <c r="H69" i="11"/>
  <c r="S69" i="11" s="1"/>
  <c r="H68" i="11"/>
  <c r="H67" i="11"/>
  <c r="S67" i="11" s="1"/>
  <c r="J66" i="11"/>
  <c r="N66" i="11" s="1"/>
  <c r="H66" i="11"/>
  <c r="S66" i="11" s="1"/>
  <c r="L65" i="11"/>
  <c r="O65" i="11" s="1"/>
  <c r="H65" i="11"/>
  <c r="S65" i="11" s="1"/>
  <c r="H64" i="11"/>
  <c r="S64" i="11" s="1"/>
  <c r="K63" i="11"/>
  <c r="S62" i="11"/>
  <c r="I61" i="11"/>
  <c r="J61" i="11" s="1"/>
  <c r="N61" i="11" s="1"/>
  <c r="H61" i="11"/>
  <c r="S61" i="11" s="1"/>
  <c r="I60" i="11"/>
  <c r="J60" i="11" s="1"/>
  <c r="N60" i="11" s="1"/>
  <c r="H60" i="11"/>
  <c r="L59" i="11"/>
  <c r="H59" i="11"/>
  <c r="S59" i="11" s="1"/>
  <c r="H58" i="11"/>
  <c r="S58" i="11" s="1"/>
  <c r="H57" i="11"/>
  <c r="S57" i="11" s="1"/>
  <c r="H56" i="11"/>
  <c r="S56" i="11" s="1"/>
  <c r="K55" i="11"/>
  <c r="L55" i="11" s="1"/>
  <c r="S54" i="11"/>
  <c r="S53" i="11"/>
  <c r="S52" i="11"/>
  <c r="L52" i="11"/>
  <c r="K52" i="11"/>
  <c r="I52" i="11"/>
  <c r="H51" i="11"/>
  <c r="S51" i="11" s="1"/>
  <c r="K50" i="11"/>
  <c r="J50" i="11"/>
  <c r="N50" i="11" s="1"/>
  <c r="H50" i="11"/>
  <c r="S406" i="11" s="1"/>
  <c r="L49" i="11"/>
  <c r="O49" i="11" s="1"/>
  <c r="K49" i="11"/>
  <c r="H49" i="11"/>
  <c r="K48" i="11"/>
  <c r="H47" i="11"/>
  <c r="S47" i="11" s="1"/>
  <c r="H46" i="11"/>
  <c r="S46" i="11" s="1"/>
  <c r="H45" i="11"/>
  <c r="S45" i="11" s="1"/>
  <c r="J44" i="11"/>
  <c r="N44" i="11" s="1"/>
  <c r="H44" i="11"/>
  <c r="S44" i="11" s="1"/>
  <c r="L43" i="11"/>
  <c r="O43" i="11" s="1"/>
  <c r="H43" i="11"/>
  <c r="H42" i="11"/>
  <c r="S42" i="11" s="1"/>
  <c r="K41" i="11"/>
  <c r="H40" i="11"/>
  <c r="S40" i="11" s="1"/>
  <c r="H39" i="11"/>
  <c r="K38" i="11"/>
  <c r="L38" i="11" s="1"/>
  <c r="M38" i="11" s="1"/>
  <c r="J38" i="11"/>
  <c r="N38" i="11" s="1"/>
  <c r="L37" i="11"/>
  <c r="H37" i="11"/>
  <c r="S37" i="11" s="1"/>
  <c r="S36" i="11"/>
  <c r="I35" i="11"/>
  <c r="H35" i="11"/>
  <c r="S35" i="11" s="1"/>
  <c r="S34" i="11"/>
  <c r="S33" i="11"/>
  <c r="I33" i="11"/>
  <c r="J33" i="11" s="1"/>
  <c r="N33" i="11" s="1"/>
  <c r="S32" i="11"/>
  <c r="L31" i="11"/>
  <c r="O31" i="11" s="1"/>
  <c r="H31" i="11"/>
  <c r="S31" i="11" s="1"/>
  <c r="S30" i="11"/>
  <c r="J29" i="11"/>
  <c r="N29" i="11" s="1"/>
  <c r="H29" i="11"/>
  <c r="S29" i="11" s="1"/>
  <c r="S28" i="11"/>
  <c r="K28" i="11"/>
  <c r="L28" i="11" s="1"/>
  <c r="H27" i="11"/>
  <c r="K26" i="11"/>
  <c r="L26" i="11" s="1"/>
  <c r="H26" i="11"/>
  <c r="S26" i="11" s="1"/>
  <c r="J25" i="11"/>
  <c r="N25" i="11" s="1"/>
  <c r="H25" i="11"/>
  <c r="S25" i="11" s="1"/>
  <c r="L24" i="11"/>
  <c r="H24" i="11"/>
  <c r="S23" i="11"/>
  <c r="J23" i="11"/>
  <c r="N23" i="11" s="1"/>
  <c r="I23" i="11"/>
  <c r="K23" i="11" s="1"/>
  <c r="L23" i="11" s="1"/>
  <c r="O23" i="11" s="1"/>
  <c r="P23" i="11" s="1"/>
  <c r="K22" i="11"/>
  <c r="L22" i="11" s="1"/>
  <c r="O22" i="11" s="1"/>
  <c r="S21" i="11"/>
  <c r="I21" i="11"/>
  <c r="K21" i="11" s="1"/>
  <c r="L21" i="11" s="1"/>
  <c r="O21" i="11" s="1"/>
  <c r="S20" i="11"/>
  <c r="I20" i="11"/>
  <c r="K20" i="11" s="1"/>
  <c r="Q12" i="11"/>
  <c r="O12" i="11"/>
  <c r="M12" i="11"/>
  <c r="B12" i="11"/>
  <c r="Q11" i="11"/>
  <c r="O11" i="11"/>
  <c r="M11" i="11"/>
  <c r="B11" i="11"/>
  <c r="Q9" i="11"/>
  <c r="O9" i="11"/>
  <c r="M9" i="11"/>
  <c r="B9" i="11"/>
  <c r="Q8" i="11"/>
  <c r="O8" i="11"/>
  <c r="M8" i="11"/>
  <c r="B8" i="11"/>
  <c r="R483" i="3"/>
  <c r="R484" i="3"/>
  <c r="O484" i="3"/>
  <c r="O483" i="3"/>
  <c r="S481" i="3"/>
  <c r="S21" i="3"/>
  <c r="S22" i="3"/>
  <c r="S23" i="3"/>
  <c r="S24" i="3"/>
  <c r="S25" i="3"/>
  <c r="S26" i="3"/>
  <c r="S27" i="3"/>
  <c r="S28" i="3"/>
  <c r="S29" i="3"/>
  <c r="S30" i="3"/>
  <c r="S31" i="3"/>
  <c r="S32" i="3"/>
  <c r="S33" i="3"/>
  <c r="S34" i="3"/>
  <c r="S35" i="3"/>
  <c r="S36" i="3"/>
  <c r="S37" i="3"/>
  <c r="S38" i="3"/>
  <c r="S39" i="3"/>
  <c r="S40" i="3"/>
  <c r="S41" i="3"/>
  <c r="S42" i="3"/>
  <c r="S43" i="3"/>
  <c r="S44" i="3"/>
  <c r="S45" i="3"/>
  <c r="S46" i="3"/>
  <c r="S47" i="3"/>
  <c r="S48" i="3"/>
  <c r="S49" i="3"/>
  <c r="S50" i="3"/>
  <c r="S51" i="3"/>
  <c r="S52" i="3"/>
  <c r="S53" i="3"/>
  <c r="S54" i="3"/>
  <c r="S55" i="3"/>
  <c r="S56" i="3"/>
  <c r="S57" i="3"/>
  <c r="S58" i="3"/>
  <c r="S59" i="3"/>
  <c r="S60" i="3"/>
  <c r="S61" i="3"/>
  <c r="S62" i="3"/>
  <c r="S63" i="3"/>
  <c r="S64" i="3"/>
  <c r="S65" i="3"/>
  <c r="S66" i="3"/>
  <c r="S67" i="3"/>
  <c r="S68" i="3"/>
  <c r="S69" i="3"/>
  <c r="S70" i="3"/>
  <c r="S71" i="3"/>
  <c r="S72" i="3"/>
  <c r="S73" i="3"/>
  <c r="S74" i="3"/>
  <c r="S75" i="3"/>
  <c r="S76" i="3"/>
  <c r="S77" i="3"/>
  <c r="S78" i="3"/>
  <c r="S79" i="3"/>
  <c r="S80" i="3"/>
  <c r="S81" i="3"/>
  <c r="S82" i="3"/>
  <c r="S83" i="3"/>
  <c r="S84" i="3"/>
  <c r="S85" i="3"/>
  <c r="S86" i="3"/>
  <c r="S87" i="3"/>
  <c r="S88" i="3"/>
  <c r="S89" i="3"/>
  <c r="S90" i="3"/>
  <c r="S91" i="3"/>
  <c r="S92" i="3"/>
  <c r="S93" i="3"/>
  <c r="S94" i="3"/>
  <c r="S95" i="3"/>
  <c r="S96" i="3"/>
  <c r="S97" i="3"/>
  <c r="S98" i="3"/>
  <c r="S99" i="3"/>
  <c r="S100" i="3"/>
  <c r="S101" i="3"/>
  <c r="S102" i="3"/>
  <c r="S103" i="3"/>
  <c r="S104" i="3"/>
  <c r="S105" i="3"/>
  <c r="S106" i="3"/>
  <c r="S107" i="3"/>
  <c r="S108" i="3"/>
  <c r="S109" i="3"/>
  <c r="S110" i="3"/>
  <c r="S111" i="3"/>
  <c r="S112" i="3"/>
  <c r="S113" i="3"/>
  <c r="S114" i="3"/>
  <c r="S115" i="3"/>
  <c r="S116" i="3"/>
  <c r="S117" i="3"/>
  <c r="S118" i="3"/>
  <c r="S119" i="3"/>
  <c r="S120" i="3"/>
  <c r="S121" i="3"/>
  <c r="S122" i="3"/>
  <c r="S123" i="3"/>
  <c r="S124" i="3"/>
  <c r="S125" i="3"/>
  <c r="S126" i="3"/>
  <c r="S127" i="3"/>
  <c r="S128" i="3"/>
  <c r="S129" i="3"/>
  <c r="S130" i="3"/>
  <c r="S131" i="3"/>
  <c r="S132" i="3"/>
  <c r="S133" i="3"/>
  <c r="S134" i="3"/>
  <c r="S135" i="3"/>
  <c r="S136" i="3"/>
  <c r="S137" i="3"/>
  <c r="S138" i="3"/>
  <c r="S139" i="3"/>
  <c r="S140" i="3"/>
  <c r="S141" i="3"/>
  <c r="S142" i="3"/>
  <c r="S143" i="3"/>
  <c r="S144" i="3"/>
  <c r="S145" i="3"/>
  <c r="S146" i="3"/>
  <c r="S147" i="3"/>
  <c r="S148" i="3"/>
  <c r="S149" i="3"/>
  <c r="S150" i="3"/>
  <c r="S151" i="3"/>
  <c r="S152" i="3"/>
  <c r="S153" i="3"/>
  <c r="S154" i="3"/>
  <c r="S155" i="3"/>
  <c r="S156" i="3"/>
  <c r="S157" i="3"/>
  <c r="S158" i="3"/>
  <c r="S159" i="3"/>
  <c r="S160" i="3"/>
  <c r="S161" i="3"/>
  <c r="S162" i="3"/>
  <c r="S163" i="3"/>
  <c r="S164" i="3"/>
  <c r="S165" i="3"/>
  <c r="S166" i="3"/>
  <c r="S167" i="3"/>
  <c r="S168" i="3"/>
  <c r="S169" i="3"/>
  <c r="S170" i="3"/>
  <c r="S171" i="3"/>
  <c r="S172" i="3"/>
  <c r="S173" i="3"/>
  <c r="S174" i="3"/>
  <c r="S175" i="3"/>
  <c r="S176" i="3"/>
  <c r="S177" i="3"/>
  <c r="S178" i="3"/>
  <c r="S179" i="3"/>
  <c r="S180" i="3"/>
  <c r="S181" i="3"/>
  <c r="S182" i="3"/>
  <c r="S183" i="3"/>
  <c r="S184" i="3"/>
  <c r="S185" i="3"/>
  <c r="S186" i="3"/>
  <c r="S187" i="3"/>
  <c r="S188" i="3"/>
  <c r="S189" i="3"/>
  <c r="S190" i="3"/>
  <c r="S191" i="3"/>
  <c r="S192" i="3"/>
  <c r="S193" i="3"/>
  <c r="S194" i="3"/>
  <c r="S195" i="3"/>
  <c r="S196" i="3"/>
  <c r="S197" i="3"/>
  <c r="S198" i="3"/>
  <c r="S199" i="3"/>
  <c r="S200" i="3"/>
  <c r="S201" i="3"/>
  <c r="S202" i="3"/>
  <c r="S203" i="3"/>
  <c r="S204" i="3"/>
  <c r="S205" i="3"/>
  <c r="S206" i="3"/>
  <c r="S207" i="3"/>
  <c r="S208" i="3"/>
  <c r="S209" i="3"/>
  <c r="S210" i="3"/>
  <c r="S211" i="3"/>
  <c r="S212" i="3"/>
  <c r="S213" i="3"/>
  <c r="S214" i="3"/>
  <c r="S215" i="3"/>
  <c r="S216" i="3"/>
  <c r="S217" i="3"/>
  <c r="S218" i="3"/>
  <c r="S219" i="3"/>
  <c r="S220" i="3"/>
  <c r="S221" i="3"/>
  <c r="S222" i="3"/>
  <c r="S223" i="3"/>
  <c r="S224" i="3"/>
  <c r="S225" i="3"/>
  <c r="S226" i="3"/>
  <c r="S227" i="3"/>
  <c r="S228" i="3"/>
  <c r="S229" i="3"/>
  <c r="S230" i="3"/>
  <c r="S231" i="3"/>
  <c r="S232" i="3"/>
  <c r="S233" i="3"/>
  <c r="S234" i="3"/>
  <c r="S235" i="3"/>
  <c r="S236" i="3"/>
  <c r="S237" i="3"/>
  <c r="S238" i="3"/>
  <c r="S239" i="3"/>
  <c r="S240" i="3"/>
  <c r="S241" i="3"/>
  <c r="S242" i="3"/>
  <c r="S243" i="3"/>
  <c r="S244" i="3"/>
  <c r="S245" i="3"/>
  <c r="S246" i="3"/>
  <c r="S247" i="3"/>
  <c r="S248" i="3"/>
  <c r="S249" i="3"/>
  <c r="S250" i="3"/>
  <c r="S251" i="3"/>
  <c r="S252" i="3"/>
  <c r="S253" i="3"/>
  <c r="S254" i="3"/>
  <c r="S255" i="3"/>
  <c r="S256" i="3"/>
  <c r="S257" i="3"/>
  <c r="S258" i="3"/>
  <c r="S259" i="3"/>
  <c r="S260" i="3"/>
  <c r="S261" i="3"/>
  <c r="S262" i="3"/>
  <c r="S263" i="3"/>
  <c r="S264" i="3"/>
  <c r="S265" i="3"/>
  <c r="S266" i="3"/>
  <c r="S267" i="3"/>
  <c r="S268" i="3"/>
  <c r="S269" i="3"/>
  <c r="S270" i="3"/>
  <c r="S271" i="3"/>
  <c r="S272" i="3"/>
  <c r="S273" i="3"/>
  <c r="S274" i="3"/>
  <c r="S275" i="3"/>
  <c r="S276" i="3"/>
  <c r="S277" i="3"/>
  <c r="S278" i="3"/>
  <c r="S279" i="3"/>
  <c r="S280" i="3"/>
  <c r="S281" i="3"/>
  <c r="S282" i="3"/>
  <c r="S283" i="3"/>
  <c r="S284" i="3"/>
  <c r="S285" i="3"/>
  <c r="S286" i="3"/>
  <c r="S287" i="3"/>
  <c r="S288" i="3"/>
  <c r="S289" i="3"/>
  <c r="S290" i="3"/>
  <c r="S291" i="3"/>
  <c r="S292" i="3"/>
  <c r="S293" i="3"/>
  <c r="S294" i="3"/>
  <c r="S295" i="3"/>
  <c r="S296" i="3"/>
  <c r="S297" i="3"/>
  <c r="S298" i="3"/>
  <c r="S299" i="3"/>
  <c r="S300" i="3"/>
  <c r="S301" i="3"/>
  <c r="S302" i="3"/>
  <c r="S303" i="3"/>
  <c r="S304" i="3"/>
  <c r="S305" i="3"/>
  <c r="S306" i="3"/>
  <c r="S307" i="3"/>
  <c r="S308" i="3"/>
  <c r="S309" i="3"/>
  <c r="S310" i="3"/>
  <c r="S311" i="3"/>
  <c r="S312" i="3"/>
  <c r="S313" i="3"/>
  <c r="S314" i="3"/>
  <c r="S315" i="3"/>
  <c r="S316" i="3"/>
  <c r="S317" i="3"/>
  <c r="S318" i="3"/>
  <c r="S319" i="3"/>
  <c r="S320" i="3"/>
  <c r="S321" i="3"/>
  <c r="S322" i="3"/>
  <c r="S323" i="3"/>
  <c r="S324" i="3"/>
  <c r="S325" i="3"/>
  <c r="S326" i="3"/>
  <c r="S327" i="3"/>
  <c r="S328" i="3"/>
  <c r="S329" i="3"/>
  <c r="S330" i="3"/>
  <c r="S331" i="3"/>
  <c r="S332" i="3"/>
  <c r="S333" i="3"/>
  <c r="S334" i="3"/>
  <c r="S335" i="3"/>
  <c r="S336" i="3"/>
  <c r="S337" i="3"/>
  <c r="S338" i="3"/>
  <c r="S339" i="3"/>
  <c r="S340" i="3"/>
  <c r="S341" i="3"/>
  <c r="S342" i="3"/>
  <c r="S343" i="3"/>
  <c r="S344" i="3"/>
  <c r="S345" i="3"/>
  <c r="S346" i="3"/>
  <c r="S347" i="3"/>
  <c r="S348" i="3"/>
  <c r="S349" i="3"/>
  <c r="S350" i="3"/>
  <c r="S351" i="3"/>
  <c r="S352" i="3"/>
  <c r="S353" i="3"/>
  <c r="S354" i="3"/>
  <c r="S355" i="3"/>
  <c r="S356" i="3"/>
  <c r="S357" i="3"/>
  <c r="S358" i="3"/>
  <c r="S359" i="3"/>
  <c r="S360" i="3"/>
  <c r="S361" i="3"/>
  <c r="S362" i="3"/>
  <c r="S363" i="3"/>
  <c r="S364" i="3"/>
  <c r="S365" i="3"/>
  <c r="S366" i="3"/>
  <c r="S367" i="3"/>
  <c r="S368" i="3"/>
  <c r="S369" i="3"/>
  <c r="S370" i="3"/>
  <c r="S371" i="3"/>
  <c r="S372" i="3"/>
  <c r="S373" i="3"/>
  <c r="S374" i="3"/>
  <c r="S375" i="3"/>
  <c r="S376" i="3"/>
  <c r="S377" i="3"/>
  <c r="S378" i="3"/>
  <c r="S379" i="3"/>
  <c r="S380" i="3"/>
  <c r="S381" i="3"/>
  <c r="S382" i="3"/>
  <c r="S383" i="3"/>
  <c r="S384" i="3"/>
  <c r="S385" i="3"/>
  <c r="S386" i="3"/>
  <c r="S387" i="3"/>
  <c r="S388" i="3"/>
  <c r="S389" i="3"/>
  <c r="S390" i="3"/>
  <c r="S391" i="3"/>
  <c r="S392" i="3"/>
  <c r="S393" i="3"/>
  <c r="S394" i="3"/>
  <c r="S395" i="3"/>
  <c r="S396" i="3"/>
  <c r="S397" i="3"/>
  <c r="S398" i="3"/>
  <c r="S399" i="3"/>
  <c r="S400" i="3"/>
  <c r="S401" i="3"/>
  <c r="S402" i="3"/>
  <c r="S403" i="3"/>
  <c r="S404" i="3"/>
  <c r="S405" i="3"/>
  <c r="S406" i="3"/>
  <c r="S407" i="3"/>
  <c r="S408" i="3"/>
  <c r="S409" i="3"/>
  <c r="S410" i="3"/>
  <c r="S411" i="3"/>
  <c r="S412" i="3"/>
  <c r="S413" i="3"/>
  <c r="S414" i="3"/>
  <c r="S415" i="3"/>
  <c r="S416" i="3"/>
  <c r="S417" i="3"/>
  <c r="S418" i="3"/>
  <c r="S419" i="3"/>
  <c r="S420" i="3"/>
  <c r="S421" i="3"/>
  <c r="S422" i="3"/>
  <c r="S423" i="3"/>
  <c r="S424" i="3"/>
  <c r="S425" i="3"/>
  <c r="S426" i="3"/>
  <c r="S427" i="3"/>
  <c r="S428" i="3"/>
  <c r="S429" i="3"/>
  <c r="S430" i="3"/>
  <c r="S431" i="3"/>
  <c r="S432" i="3"/>
  <c r="S433" i="3"/>
  <c r="S434" i="3"/>
  <c r="S435" i="3"/>
  <c r="S436" i="3"/>
  <c r="S437" i="3"/>
  <c r="S438" i="3"/>
  <c r="S439" i="3"/>
  <c r="S440" i="3"/>
  <c r="S441" i="3"/>
  <c r="S442" i="3"/>
  <c r="S443" i="3"/>
  <c r="S444" i="3"/>
  <c r="S445" i="3"/>
  <c r="S446" i="3"/>
  <c r="S447" i="3"/>
  <c r="S448" i="3"/>
  <c r="S449" i="3"/>
  <c r="S450" i="3"/>
  <c r="S451" i="3"/>
  <c r="S452" i="3"/>
  <c r="S453" i="3"/>
  <c r="S454" i="3"/>
  <c r="S455" i="3"/>
  <c r="S456" i="3"/>
  <c r="S457" i="3"/>
  <c r="S458" i="3"/>
  <c r="S459" i="3"/>
  <c r="S460" i="3"/>
  <c r="S461" i="3"/>
  <c r="S462" i="3"/>
  <c r="S463" i="3"/>
  <c r="S464" i="3"/>
  <c r="S465" i="3"/>
  <c r="S466" i="3"/>
  <c r="S467" i="3"/>
  <c r="S468" i="3"/>
  <c r="S469" i="3"/>
  <c r="S470" i="3"/>
  <c r="S471" i="3"/>
  <c r="S472" i="3"/>
  <c r="S473" i="3"/>
  <c r="S474" i="3"/>
  <c r="S475" i="3"/>
  <c r="S476" i="3"/>
  <c r="S477" i="3"/>
  <c r="S478" i="3"/>
  <c r="S479" i="3"/>
  <c r="S480" i="3"/>
  <c r="S20" i="3"/>
  <c r="F37" i="2"/>
  <c r="F39" i="2"/>
  <c r="M53" i="10"/>
  <c r="M51" i="10"/>
  <c r="M49" i="10"/>
  <c r="M47" i="10"/>
  <c r="M45" i="10"/>
  <c r="M43" i="10"/>
  <c r="M41" i="10"/>
  <c r="M39" i="10"/>
  <c r="M37" i="10"/>
  <c r="M35" i="10"/>
  <c r="M33" i="10"/>
  <c r="M31" i="10"/>
  <c r="M29" i="10"/>
  <c r="M27" i="10"/>
  <c r="M25" i="10"/>
  <c r="M23" i="10"/>
  <c r="M21" i="10"/>
  <c r="M19" i="10"/>
  <c r="M17" i="10"/>
  <c r="M15" i="10"/>
  <c r="M13" i="10"/>
  <c r="S88" i="12" l="1"/>
  <c r="S38" i="12"/>
  <c r="S100" i="12"/>
  <c r="S89" i="12"/>
  <c r="S106" i="12"/>
  <c r="S82" i="12"/>
  <c r="S96" i="12"/>
  <c r="S255" i="12"/>
  <c r="S294" i="12"/>
  <c r="S245" i="12"/>
  <c r="S466" i="12"/>
  <c r="S151" i="11"/>
  <c r="S211" i="11"/>
  <c r="K35" i="11"/>
  <c r="L35" i="11" s="1"/>
  <c r="S50" i="11"/>
  <c r="S155" i="11"/>
  <c r="S177" i="11"/>
  <c r="S408" i="11"/>
  <c r="S335" i="11"/>
  <c r="S352" i="11"/>
  <c r="S27" i="11"/>
  <c r="S79" i="11"/>
  <c r="S95" i="11"/>
  <c r="S181" i="11"/>
  <c r="S210" i="11"/>
  <c r="S227" i="11"/>
  <c r="S235" i="11"/>
  <c r="S243" i="11"/>
  <c r="S258" i="11"/>
  <c r="S293" i="11"/>
  <c r="S353" i="11"/>
  <c r="S363" i="11"/>
  <c r="S377" i="11"/>
  <c r="S401" i="11"/>
  <c r="S86" i="11"/>
  <c r="S91" i="11"/>
  <c r="S221" i="11"/>
  <c r="S228" i="11"/>
  <c r="S336" i="11"/>
  <c r="S343" i="11"/>
  <c r="S370" i="11"/>
  <c r="S397" i="11"/>
  <c r="S405" i="11"/>
  <c r="S78" i="11"/>
  <c r="S24" i="11"/>
  <c r="S43" i="11"/>
  <c r="S49" i="11"/>
  <c r="S68" i="11"/>
  <c r="K82" i="11"/>
  <c r="L82" i="11" s="1"/>
  <c r="M82" i="11" s="1"/>
  <c r="K96" i="11"/>
  <c r="L96" i="11" s="1"/>
  <c r="M96" i="11" s="1"/>
  <c r="S99" i="11"/>
  <c r="S157" i="11"/>
  <c r="S176" i="11"/>
  <c r="S183" i="11"/>
  <c r="S199" i="11"/>
  <c r="S203" i="11"/>
  <c r="S229" i="11"/>
  <c r="K245" i="11"/>
  <c r="L245" i="11" s="1"/>
  <c r="O245" i="11" s="1"/>
  <c r="S265" i="11"/>
  <c r="S295" i="11"/>
  <c r="S304" i="11"/>
  <c r="S318" i="11"/>
  <c r="S327" i="11"/>
  <c r="S349" i="11"/>
  <c r="S354" i="11"/>
  <c r="S365" i="11"/>
  <c r="S379" i="11"/>
  <c r="S387" i="11"/>
  <c r="S398" i="11"/>
  <c r="S125" i="11"/>
  <c r="S133" i="11"/>
  <c r="S162" i="11"/>
  <c r="S169" i="11"/>
  <c r="S360" i="11"/>
  <c r="S413" i="11"/>
  <c r="S410" i="11"/>
  <c r="S403" i="11"/>
  <c r="O38" i="11"/>
  <c r="P38" i="11" s="1"/>
  <c r="S77" i="11"/>
  <c r="S127" i="11"/>
  <c r="S140" i="11"/>
  <c r="S185" i="11"/>
  <c r="S232" i="11"/>
  <c r="S291" i="11"/>
  <c r="K301" i="11"/>
  <c r="S306" i="11"/>
  <c r="S316" i="11"/>
  <c r="S323" i="11"/>
  <c r="S330" i="11"/>
  <c r="S334" i="11"/>
  <c r="S351" i="11"/>
  <c r="S374" i="11"/>
  <c r="S22" i="11"/>
  <c r="S39" i="11"/>
  <c r="K60" i="11"/>
  <c r="L60" i="11" s="1"/>
  <c r="K71" i="11"/>
  <c r="L71" i="11" s="1"/>
  <c r="O71" i="11" s="1"/>
  <c r="P71" i="11" s="1"/>
  <c r="K98" i="11"/>
  <c r="L98" i="11" s="1"/>
  <c r="S128" i="11"/>
  <c r="S141" i="11"/>
  <c r="S149" i="11"/>
  <c r="S164" i="11"/>
  <c r="S172" i="11"/>
  <c r="S179" i="11"/>
  <c r="S241" i="11"/>
  <c r="S262" i="11"/>
  <c r="S274" i="11"/>
  <c r="S287" i="11"/>
  <c r="S375" i="11"/>
  <c r="S381" i="11"/>
  <c r="S389" i="11"/>
  <c r="S392" i="11"/>
  <c r="S411" i="11"/>
  <c r="S414" i="11"/>
  <c r="O35" i="11"/>
  <c r="O125" i="11"/>
  <c r="P125" i="11" s="1"/>
  <c r="M125" i="11"/>
  <c r="O133" i="11"/>
  <c r="M23" i="11"/>
  <c r="O28" i="11"/>
  <c r="O52" i="11"/>
  <c r="M88" i="11"/>
  <c r="O88" i="11"/>
  <c r="P88" i="11" s="1"/>
  <c r="O123" i="11"/>
  <c r="O26" i="11"/>
  <c r="M92" i="11"/>
  <c r="O92" i="11"/>
  <c r="P92" i="11" s="1"/>
  <c r="O97" i="11"/>
  <c r="P97" i="11" s="1"/>
  <c r="M97" i="11"/>
  <c r="M100" i="11"/>
  <c r="O100" i="11"/>
  <c r="P100" i="11" s="1"/>
  <c r="O110" i="11"/>
  <c r="O140" i="11"/>
  <c r="O148" i="11"/>
  <c r="O60" i="11"/>
  <c r="P60" i="11" s="1"/>
  <c r="M60" i="11"/>
  <c r="O37" i="11"/>
  <c r="H48" i="11"/>
  <c r="L48" i="11"/>
  <c r="O131" i="11"/>
  <c r="P131" i="11" s="1"/>
  <c r="M131" i="11"/>
  <c r="O164" i="11"/>
  <c r="O24" i="11"/>
  <c r="H41" i="11"/>
  <c r="L41" i="11"/>
  <c r="H74" i="11"/>
  <c r="L74" i="11"/>
  <c r="O90" i="11"/>
  <c r="P90" i="11" s="1"/>
  <c r="M90" i="11"/>
  <c r="O98" i="11"/>
  <c r="P98" i="11" s="1"/>
  <c r="M98" i="11"/>
  <c r="O55" i="11"/>
  <c r="H85" i="11"/>
  <c r="S85" i="11" s="1"/>
  <c r="L85" i="11"/>
  <c r="O102" i="11"/>
  <c r="P102" i="11" s="1"/>
  <c r="M102" i="11"/>
  <c r="M106" i="11"/>
  <c r="O106" i="11"/>
  <c r="P106" i="11" s="1"/>
  <c r="O129" i="11"/>
  <c r="O59" i="11"/>
  <c r="H63" i="11"/>
  <c r="L63" i="11"/>
  <c r="O70" i="11"/>
  <c r="M132" i="11"/>
  <c r="O132" i="11"/>
  <c r="P132" i="11" s="1"/>
  <c r="J469" i="11"/>
  <c r="N469" i="11" s="1"/>
  <c r="J475" i="11"/>
  <c r="N475" i="11" s="1"/>
  <c r="J463" i="11"/>
  <c r="N463" i="11" s="1"/>
  <c r="L462" i="11"/>
  <c r="J456" i="11"/>
  <c r="N456" i="11" s="1"/>
  <c r="J436" i="11"/>
  <c r="N436" i="11" s="1"/>
  <c r="L429" i="11"/>
  <c r="J424" i="11"/>
  <c r="N424" i="11" s="1"/>
  <c r="L472" i="11"/>
  <c r="L473" i="11"/>
  <c r="J472" i="11"/>
  <c r="N472" i="11" s="1"/>
  <c r="J412" i="11"/>
  <c r="N412" i="11" s="1"/>
  <c r="L475" i="11"/>
  <c r="J473" i="11"/>
  <c r="N473" i="11" s="1"/>
  <c r="L469" i="11"/>
  <c r="L465" i="11"/>
  <c r="L464" i="11"/>
  <c r="L439" i="11"/>
  <c r="L438" i="11"/>
  <c r="L437" i="11"/>
  <c r="L420" i="11"/>
  <c r="J465" i="11"/>
  <c r="N465" i="11" s="1"/>
  <c r="J464" i="11"/>
  <c r="N464" i="11" s="1"/>
  <c r="L463" i="11"/>
  <c r="J462" i="11"/>
  <c r="N462" i="11" s="1"/>
  <c r="J459" i="11"/>
  <c r="N459" i="11" s="1"/>
  <c r="J458" i="11"/>
  <c r="N458" i="11" s="1"/>
  <c r="J457" i="11"/>
  <c r="N457" i="11" s="1"/>
  <c r="L456" i="11"/>
  <c r="L454" i="11"/>
  <c r="J433" i="11"/>
  <c r="N433" i="11" s="1"/>
  <c r="J432" i="11"/>
  <c r="N432" i="11" s="1"/>
  <c r="L416" i="11"/>
  <c r="J409" i="11"/>
  <c r="N409" i="11" s="1"/>
  <c r="J407" i="11"/>
  <c r="N407" i="11" s="1"/>
  <c r="J438" i="11"/>
  <c r="N438" i="11" s="1"/>
  <c r="L427" i="11"/>
  <c r="J426" i="11"/>
  <c r="N426" i="11" s="1"/>
  <c r="L400" i="11"/>
  <c r="J399" i="11"/>
  <c r="N399" i="11" s="1"/>
  <c r="J390" i="11"/>
  <c r="N390" i="11" s="1"/>
  <c r="L380" i="11"/>
  <c r="J373" i="11"/>
  <c r="N373" i="11" s="1"/>
  <c r="L372" i="11"/>
  <c r="J367" i="11"/>
  <c r="N367" i="11" s="1"/>
  <c r="L366" i="11"/>
  <c r="J360" i="11"/>
  <c r="N360" i="11" s="1"/>
  <c r="J355" i="11"/>
  <c r="N355" i="11" s="1"/>
  <c r="L354" i="11"/>
  <c r="J349" i="11"/>
  <c r="N349" i="11" s="1"/>
  <c r="L348" i="11"/>
  <c r="J341" i="11"/>
  <c r="N341" i="11" s="1"/>
  <c r="L459" i="11"/>
  <c r="L447" i="11"/>
  <c r="L433" i="11"/>
  <c r="J427" i="11"/>
  <c r="N427" i="11" s="1"/>
  <c r="J410" i="11"/>
  <c r="N410" i="11" s="1"/>
  <c r="L401" i="11"/>
  <c r="J400" i="11"/>
  <c r="N400" i="11" s="1"/>
  <c r="J383" i="11"/>
  <c r="N383" i="11" s="1"/>
  <c r="J380" i="11"/>
  <c r="N380" i="11" s="1"/>
  <c r="L379" i="11"/>
  <c r="J372" i="11"/>
  <c r="N372" i="11" s="1"/>
  <c r="L371" i="11"/>
  <c r="J366" i="11"/>
  <c r="N366" i="11" s="1"/>
  <c r="L365" i="11"/>
  <c r="J354" i="11"/>
  <c r="N354" i="11" s="1"/>
  <c r="L353" i="11"/>
  <c r="J348" i="11"/>
  <c r="N348" i="11" s="1"/>
  <c r="L347" i="11"/>
  <c r="J447" i="11"/>
  <c r="N447" i="11" s="1"/>
  <c r="L436" i="11"/>
  <c r="J421" i="11"/>
  <c r="N421" i="11" s="1"/>
  <c r="J417" i="11"/>
  <c r="N417" i="11" s="1"/>
  <c r="L407" i="11"/>
  <c r="L402" i="11"/>
  <c r="J401" i="11"/>
  <c r="N401" i="11" s="1"/>
  <c r="J379" i="11"/>
  <c r="N379" i="11" s="1"/>
  <c r="L378" i="11"/>
  <c r="J371" i="11"/>
  <c r="N371" i="11" s="1"/>
  <c r="J365" i="11"/>
  <c r="N365" i="11" s="1"/>
  <c r="L364" i="11"/>
  <c r="J454" i="11"/>
  <c r="N454" i="11" s="1"/>
  <c r="J443" i="11"/>
  <c r="N443" i="11" s="1"/>
  <c r="J439" i="11"/>
  <c r="N439" i="11" s="1"/>
  <c r="L428" i="11"/>
  <c r="L403" i="11"/>
  <c r="J402" i="11"/>
  <c r="N402" i="11" s="1"/>
  <c r="J394" i="11"/>
  <c r="N394" i="11" s="1"/>
  <c r="J386" i="11"/>
  <c r="N386" i="11" s="1"/>
  <c r="J378" i="11"/>
  <c r="N378" i="11" s="1"/>
  <c r="L377" i="11"/>
  <c r="J364" i="11"/>
  <c r="N364" i="11" s="1"/>
  <c r="L363" i="11"/>
  <c r="J352" i="11"/>
  <c r="N352" i="11" s="1"/>
  <c r="L458" i="11"/>
  <c r="J428" i="11"/>
  <c r="N428" i="11" s="1"/>
  <c r="L412" i="11"/>
  <c r="L404" i="11"/>
  <c r="J403" i="11"/>
  <c r="N403" i="11" s="1"/>
  <c r="J377" i="11"/>
  <c r="N377" i="11" s="1"/>
  <c r="L376" i="11"/>
  <c r="J363" i="11"/>
  <c r="N363" i="11" s="1"/>
  <c r="L362" i="11"/>
  <c r="J437" i="11"/>
  <c r="N437" i="11" s="1"/>
  <c r="J404" i="11"/>
  <c r="N404" i="11" s="1"/>
  <c r="L398" i="11"/>
  <c r="J387" i="11"/>
  <c r="N387" i="11" s="1"/>
  <c r="J376" i="11"/>
  <c r="N376" i="11" s="1"/>
  <c r="L375" i="11"/>
  <c r="L432" i="11"/>
  <c r="L425" i="11"/>
  <c r="L457" i="11"/>
  <c r="J455" i="11"/>
  <c r="N455" i="11" s="1"/>
  <c r="L399" i="11"/>
  <c r="J375" i="11"/>
  <c r="N375" i="11" s="1"/>
  <c r="J351" i="11"/>
  <c r="N351" i="11" s="1"/>
  <c r="L344" i="11"/>
  <c r="J343" i="11"/>
  <c r="N343" i="11" s="1"/>
  <c r="J339" i="11"/>
  <c r="N339" i="11" s="1"/>
  <c r="L338" i="11"/>
  <c r="J328" i="11"/>
  <c r="N328" i="11" s="1"/>
  <c r="L327" i="11"/>
  <c r="J322" i="11"/>
  <c r="N322" i="11" s="1"/>
  <c r="J305" i="11"/>
  <c r="N305" i="11" s="1"/>
  <c r="L304" i="11"/>
  <c r="J420" i="11"/>
  <c r="N420" i="11" s="1"/>
  <c r="L409" i="11"/>
  <c r="L406" i="11"/>
  <c r="L382" i="11"/>
  <c r="J359" i="11"/>
  <c r="N359" i="11" s="1"/>
  <c r="L356" i="11"/>
  <c r="L352" i="11"/>
  <c r="L345" i="11"/>
  <c r="J344" i="11"/>
  <c r="N344" i="11" s="1"/>
  <c r="J338" i="11"/>
  <c r="N338" i="11" s="1"/>
  <c r="J334" i="11"/>
  <c r="N334" i="11" s="1"/>
  <c r="J327" i="11"/>
  <c r="N327" i="11" s="1"/>
  <c r="J321" i="11"/>
  <c r="N321" i="11" s="1"/>
  <c r="L310" i="11"/>
  <c r="J398" i="11"/>
  <c r="N398" i="11" s="1"/>
  <c r="J382" i="11"/>
  <c r="N382" i="11" s="1"/>
  <c r="L374" i="11"/>
  <c r="L367" i="11"/>
  <c r="J362" i="11"/>
  <c r="N362" i="11" s="1"/>
  <c r="J356" i="11"/>
  <c r="N356" i="11" s="1"/>
  <c r="L346" i="11"/>
  <c r="J345" i="11"/>
  <c r="N345" i="11" s="1"/>
  <c r="J316" i="11"/>
  <c r="N316" i="11" s="1"/>
  <c r="J310" i="11"/>
  <c r="N310" i="11" s="1"/>
  <c r="J303" i="11"/>
  <c r="N303" i="11" s="1"/>
  <c r="L302" i="11"/>
  <c r="J287" i="11"/>
  <c r="N287" i="11" s="1"/>
  <c r="L286" i="11"/>
  <c r="J374" i="11"/>
  <c r="N374" i="11" s="1"/>
  <c r="L360" i="11"/>
  <c r="J353" i="11"/>
  <c r="N353" i="11" s="1"/>
  <c r="J346" i="11"/>
  <c r="N346" i="11" s="1"/>
  <c r="J337" i="11"/>
  <c r="N337" i="11" s="1"/>
  <c r="J333" i="11"/>
  <c r="N333" i="11" s="1"/>
  <c r="L332" i="11"/>
  <c r="J326" i="11"/>
  <c r="N326" i="11" s="1"/>
  <c r="J320" i="11"/>
  <c r="N320" i="11" s="1"/>
  <c r="L319" i="11"/>
  <c r="J315" i="11"/>
  <c r="N315" i="11" s="1"/>
  <c r="J416" i="11"/>
  <c r="N416" i="11" s="1"/>
  <c r="J347" i="11"/>
  <c r="N347" i="11" s="1"/>
  <c r="L331" i="11"/>
  <c r="L308" i="11"/>
  <c r="L297" i="11"/>
  <c r="J429" i="11"/>
  <c r="N429" i="11" s="1"/>
  <c r="J405" i="11"/>
  <c r="N405" i="11" s="1"/>
  <c r="L390" i="11"/>
  <c r="J388" i="11"/>
  <c r="N388" i="11" s="1"/>
  <c r="L381" i="11"/>
  <c r="L361" i="11"/>
  <c r="J357" i="11"/>
  <c r="N357" i="11" s="1"/>
  <c r="J336" i="11"/>
  <c r="N336" i="11" s="1"/>
  <c r="J332" i="11"/>
  <c r="N332" i="11" s="1"/>
  <c r="J331" i="11"/>
  <c r="N331" i="11" s="1"/>
  <c r="L330" i="11"/>
  <c r="L323" i="11"/>
  <c r="J319" i="11"/>
  <c r="N319" i="11" s="1"/>
  <c r="J314" i="11"/>
  <c r="N314" i="11" s="1"/>
  <c r="L313" i="11"/>
  <c r="J308" i="11"/>
  <c r="N308" i="11" s="1"/>
  <c r="L307" i="11"/>
  <c r="J301" i="11"/>
  <c r="N301" i="11" s="1"/>
  <c r="J297" i="11"/>
  <c r="N297" i="11" s="1"/>
  <c r="L296" i="11"/>
  <c r="J425" i="11"/>
  <c r="N425" i="11" s="1"/>
  <c r="L373" i="11"/>
  <c r="L368" i="11"/>
  <c r="L349" i="11"/>
  <c r="L342" i="11"/>
  <c r="L341" i="11"/>
  <c r="L340" i="11"/>
  <c r="J330" i="11"/>
  <c r="N330" i="11" s="1"/>
  <c r="L329" i="11"/>
  <c r="J318" i="11"/>
  <c r="N318" i="11" s="1"/>
  <c r="J313" i="11"/>
  <c r="N313" i="11" s="1"/>
  <c r="J307" i="11"/>
  <c r="N307" i="11" s="1"/>
  <c r="L306" i="11"/>
  <c r="J296" i="11"/>
  <c r="N296" i="11" s="1"/>
  <c r="J368" i="11"/>
  <c r="N368" i="11" s="1"/>
  <c r="J361" i="11"/>
  <c r="N361" i="11" s="1"/>
  <c r="L355" i="11"/>
  <c r="L351" i="11"/>
  <c r="L343" i="11"/>
  <c r="J342" i="11"/>
  <c r="N342" i="11" s="1"/>
  <c r="J340" i="11"/>
  <c r="N340" i="11" s="1"/>
  <c r="L339" i="11"/>
  <c r="J329" i="11"/>
  <c r="N329" i="11" s="1"/>
  <c r="L328" i="11"/>
  <c r="J323" i="11"/>
  <c r="N323" i="11" s="1"/>
  <c r="J306" i="11"/>
  <c r="N306" i="11" s="1"/>
  <c r="L305" i="11"/>
  <c r="J295" i="11"/>
  <c r="N295" i="11" s="1"/>
  <c r="J302" i="11"/>
  <c r="N302" i="11" s="1"/>
  <c r="J293" i="11"/>
  <c r="N293" i="11" s="1"/>
  <c r="J276" i="11"/>
  <c r="N276" i="11" s="1"/>
  <c r="L275" i="11"/>
  <c r="J268" i="11"/>
  <c r="N268" i="11" s="1"/>
  <c r="L267" i="11"/>
  <c r="J260" i="11"/>
  <c r="N260" i="11" s="1"/>
  <c r="L259" i="11"/>
  <c r="J249" i="11"/>
  <c r="N249" i="11" s="1"/>
  <c r="L244" i="11"/>
  <c r="J237" i="11"/>
  <c r="N237" i="11" s="1"/>
  <c r="L236" i="11"/>
  <c r="J229" i="11"/>
  <c r="N229" i="11" s="1"/>
  <c r="L228" i="11"/>
  <c r="L221" i="11"/>
  <c r="J304" i="11"/>
  <c r="N304" i="11" s="1"/>
  <c r="J294" i="11"/>
  <c r="N294" i="11" s="1"/>
  <c r="J274" i="11"/>
  <c r="N274" i="11" s="1"/>
  <c r="L273" i="11"/>
  <c r="J266" i="11"/>
  <c r="N266" i="11" s="1"/>
  <c r="L265" i="11"/>
  <c r="J254" i="11"/>
  <c r="N254" i="11" s="1"/>
  <c r="L253" i="11"/>
  <c r="J248" i="11"/>
  <c r="N248" i="11" s="1"/>
  <c r="L247" i="11"/>
  <c r="J243" i="11"/>
  <c r="N243" i="11" s="1"/>
  <c r="L242" i="11"/>
  <c r="J235" i="11"/>
  <c r="N235" i="11" s="1"/>
  <c r="L234" i="11"/>
  <c r="J227" i="11"/>
  <c r="N227" i="11" s="1"/>
  <c r="L226" i="11"/>
  <c r="J220" i="11"/>
  <c r="N220" i="11" s="1"/>
  <c r="L219" i="11"/>
  <c r="L295" i="11"/>
  <c r="J286" i="11"/>
  <c r="N286" i="11" s="1"/>
  <c r="J273" i="11"/>
  <c r="N273" i="11" s="1"/>
  <c r="L272" i="11"/>
  <c r="J265" i="11"/>
  <c r="N265" i="11" s="1"/>
  <c r="L264" i="11"/>
  <c r="J253" i="11"/>
  <c r="N253" i="11" s="1"/>
  <c r="J247" i="11"/>
  <c r="N247" i="11" s="1"/>
  <c r="J242" i="11"/>
  <c r="N242" i="11" s="1"/>
  <c r="L241" i="11"/>
  <c r="J234" i="11"/>
  <c r="N234" i="11" s="1"/>
  <c r="L233" i="11"/>
  <c r="J226" i="11"/>
  <c r="N226" i="11" s="1"/>
  <c r="L225" i="11"/>
  <c r="J219" i="11"/>
  <c r="N219" i="11" s="1"/>
  <c r="L218" i="11"/>
  <c r="L288" i="11"/>
  <c r="L287" i="11"/>
  <c r="J272" i="11"/>
  <c r="N272" i="11" s="1"/>
  <c r="L271" i="11"/>
  <c r="J264" i="11"/>
  <c r="N264" i="11" s="1"/>
  <c r="L263" i="11"/>
  <c r="J241" i="11"/>
  <c r="N241" i="11" s="1"/>
  <c r="L240" i="11"/>
  <c r="J233" i="11"/>
  <c r="N233" i="11" s="1"/>
  <c r="L232" i="11"/>
  <c r="J225" i="11"/>
  <c r="N225" i="11" s="1"/>
  <c r="L224" i="11"/>
  <c r="L303" i="11"/>
  <c r="L289" i="11"/>
  <c r="J288" i="11"/>
  <c r="N288" i="11" s="1"/>
  <c r="J283" i="11"/>
  <c r="N283" i="11" s="1"/>
  <c r="L282" i="11"/>
  <c r="L290" i="11"/>
  <c r="J289" i="11"/>
  <c r="N289" i="11" s="1"/>
  <c r="J278" i="11"/>
  <c r="N278" i="11" s="1"/>
  <c r="L277" i="11"/>
  <c r="J270" i="11"/>
  <c r="N270" i="11" s="1"/>
  <c r="L269" i="11"/>
  <c r="J262" i="11"/>
  <c r="N262" i="11" s="1"/>
  <c r="L261" i="11"/>
  <c r="J251" i="11"/>
  <c r="N251" i="11" s="1"/>
  <c r="L250" i="11"/>
  <c r="J239" i="11"/>
  <c r="N239" i="11" s="1"/>
  <c r="L238" i="11"/>
  <c r="J231" i="11"/>
  <c r="N231" i="11" s="1"/>
  <c r="L230" i="11"/>
  <c r="J221" i="11"/>
  <c r="N221" i="11" s="1"/>
  <c r="L216" i="11"/>
  <c r="L210" i="11"/>
  <c r="J201" i="11"/>
  <c r="N201" i="11" s="1"/>
  <c r="L200" i="11"/>
  <c r="L195" i="11"/>
  <c r="L188" i="11"/>
  <c r="J182" i="11"/>
  <c r="N182" i="11" s="1"/>
  <c r="J174" i="11"/>
  <c r="N174" i="11" s="1"/>
  <c r="L173" i="11"/>
  <c r="L158" i="11"/>
  <c r="J146" i="11"/>
  <c r="N146" i="11" s="1"/>
  <c r="L278" i="11"/>
  <c r="L276" i="11"/>
  <c r="L274" i="11"/>
  <c r="L270" i="11"/>
  <c r="L268" i="11"/>
  <c r="L266" i="11"/>
  <c r="L262" i="11"/>
  <c r="L260" i="11"/>
  <c r="L254" i="11"/>
  <c r="L217" i="11"/>
  <c r="J216" i="11"/>
  <c r="N216" i="11" s="1"/>
  <c r="J210" i="11"/>
  <c r="N210" i="11" s="1"/>
  <c r="J200" i="11"/>
  <c r="N200" i="11" s="1"/>
  <c r="J195" i="11"/>
  <c r="N195" i="11" s="1"/>
  <c r="J188" i="11"/>
  <c r="N188" i="11" s="1"/>
  <c r="L180" i="11"/>
  <c r="L258" i="11"/>
  <c r="J252" i="11"/>
  <c r="N252" i="11" s="1"/>
  <c r="J250" i="11"/>
  <c r="N250" i="11" s="1"/>
  <c r="L243" i="11"/>
  <c r="L239" i="11"/>
  <c r="L237" i="11"/>
  <c r="L235" i="11"/>
  <c r="L231" i="11"/>
  <c r="L229" i="11"/>
  <c r="L227" i="11"/>
  <c r="L223" i="11"/>
  <c r="J217" i="11"/>
  <c r="N217" i="11" s="1"/>
  <c r="L208" i="11"/>
  <c r="L193" i="11"/>
  <c r="J180" i="11"/>
  <c r="N180" i="11" s="1"/>
  <c r="L179" i="11"/>
  <c r="J281" i="11"/>
  <c r="N281" i="11" s="1"/>
  <c r="J223" i="11"/>
  <c r="N223" i="11" s="1"/>
  <c r="J218" i="11"/>
  <c r="N218" i="11" s="1"/>
  <c r="J209" i="11"/>
  <c r="N209" i="11" s="1"/>
  <c r="J208" i="11"/>
  <c r="N208" i="11" s="1"/>
  <c r="J204" i="11"/>
  <c r="N204" i="11" s="1"/>
  <c r="J199" i="11"/>
  <c r="N199" i="11" s="1"/>
  <c r="J194" i="11"/>
  <c r="N194" i="11" s="1"/>
  <c r="J193" i="11"/>
  <c r="N193" i="11" s="1"/>
  <c r="L192" i="11"/>
  <c r="J290" i="11"/>
  <c r="N290" i="11" s="1"/>
  <c r="J192" i="11"/>
  <c r="N192" i="11" s="1"/>
  <c r="L177" i="11"/>
  <c r="J170" i="11"/>
  <c r="N170" i="11" s="1"/>
  <c r="J155" i="11"/>
  <c r="N155" i="11" s="1"/>
  <c r="L293" i="11"/>
  <c r="J279" i="11"/>
  <c r="N279" i="11" s="1"/>
  <c r="J277" i="11"/>
  <c r="N277" i="11" s="1"/>
  <c r="J275" i="11"/>
  <c r="N275" i="11" s="1"/>
  <c r="J271" i="11"/>
  <c r="N271" i="11" s="1"/>
  <c r="J269" i="11"/>
  <c r="N269" i="11" s="1"/>
  <c r="J267" i="11"/>
  <c r="N267" i="11" s="1"/>
  <c r="J263" i="11"/>
  <c r="N263" i="11" s="1"/>
  <c r="J261" i="11"/>
  <c r="N261" i="11" s="1"/>
  <c r="J259" i="11"/>
  <c r="N259" i="11" s="1"/>
  <c r="J177" i="11"/>
  <c r="N177" i="11" s="1"/>
  <c r="L176" i="11"/>
  <c r="J162" i="11"/>
  <c r="N162" i="11" s="1"/>
  <c r="L251" i="11"/>
  <c r="L249" i="11"/>
  <c r="J244" i="11"/>
  <c r="N244" i="11" s="1"/>
  <c r="J240" i="11"/>
  <c r="N240" i="11" s="1"/>
  <c r="J238" i="11"/>
  <c r="N238" i="11" s="1"/>
  <c r="J236" i="11"/>
  <c r="N236" i="11" s="1"/>
  <c r="J232" i="11"/>
  <c r="N232" i="11" s="1"/>
  <c r="J230" i="11"/>
  <c r="N230" i="11" s="1"/>
  <c r="J228" i="11"/>
  <c r="N228" i="11" s="1"/>
  <c r="J224" i="11"/>
  <c r="N224" i="11" s="1"/>
  <c r="L220" i="11"/>
  <c r="L190" i="11"/>
  <c r="J282" i="11"/>
  <c r="N282" i="11" s="1"/>
  <c r="J211" i="11"/>
  <c r="N211" i="11" s="1"/>
  <c r="J452" i="11"/>
  <c r="N452" i="11" s="1"/>
  <c r="J245" i="11"/>
  <c r="N245" i="11" s="1"/>
  <c r="J246" i="11"/>
  <c r="N246" i="11" s="1"/>
  <c r="L27" i="11"/>
  <c r="J35" i="11"/>
  <c r="N35" i="11" s="1"/>
  <c r="L40" i="11"/>
  <c r="J41" i="11"/>
  <c r="N41" i="11" s="1"/>
  <c r="L47" i="11"/>
  <c r="J48" i="11"/>
  <c r="N48" i="11" s="1"/>
  <c r="L58" i="11"/>
  <c r="J59" i="11"/>
  <c r="N59" i="11" s="1"/>
  <c r="J63" i="11"/>
  <c r="N63" i="11" s="1"/>
  <c r="L69" i="11"/>
  <c r="J70" i="11"/>
  <c r="N70" i="11" s="1"/>
  <c r="J74" i="11"/>
  <c r="N74" i="11" s="1"/>
  <c r="L80" i="11"/>
  <c r="J85" i="11"/>
  <c r="N85" i="11" s="1"/>
  <c r="L89" i="11"/>
  <c r="L93" i="11"/>
  <c r="J109" i="11"/>
  <c r="N109" i="11" s="1"/>
  <c r="P109" i="11" s="1"/>
  <c r="J110" i="11"/>
  <c r="N110" i="11" s="1"/>
  <c r="L116" i="11"/>
  <c r="J117" i="11"/>
  <c r="N117" i="11" s="1"/>
  <c r="P117" i="11" s="1"/>
  <c r="J130" i="11"/>
  <c r="N130" i="11" s="1"/>
  <c r="P130" i="11" s="1"/>
  <c r="J135" i="11"/>
  <c r="N135" i="11" s="1"/>
  <c r="P135" i="11" s="1"/>
  <c r="L143" i="11"/>
  <c r="L145" i="11"/>
  <c r="L151" i="11"/>
  <c r="L152" i="11"/>
  <c r="L153" i="11"/>
  <c r="J158" i="11"/>
  <c r="N158" i="11" s="1"/>
  <c r="L175" i="11"/>
  <c r="L183" i="11"/>
  <c r="L204" i="11"/>
  <c r="L206" i="11"/>
  <c r="L281" i="11"/>
  <c r="M199" i="11"/>
  <c r="O199" i="11"/>
  <c r="L29" i="11"/>
  <c r="J42" i="11"/>
  <c r="N42" i="11" s="1"/>
  <c r="J49" i="11"/>
  <c r="N49" i="11" s="1"/>
  <c r="P49" i="11" s="1"/>
  <c r="H55" i="11"/>
  <c r="S60" i="11"/>
  <c r="J64" i="11"/>
  <c r="N64" i="11" s="1"/>
  <c r="S71" i="11"/>
  <c r="J75" i="11"/>
  <c r="N75" i="11" s="1"/>
  <c r="J91" i="11"/>
  <c r="N91" i="11" s="1"/>
  <c r="P91" i="11" s="1"/>
  <c r="L95" i="11"/>
  <c r="J105" i="11"/>
  <c r="N105" i="11" s="1"/>
  <c r="P105" i="11" s="1"/>
  <c r="M109" i="11"/>
  <c r="L136" i="11"/>
  <c r="J137" i="11"/>
  <c r="N137" i="11" s="1"/>
  <c r="K185" i="11"/>
  <c r="L185" i="11" s="1"/>
  <c r="J185" i="11"/>
  <c r="N185" i="11" s="1"/>
  <c r="L196" i="11"/>
  <c r="L202" i="11"/>
  <c r="L207" i="11"/>
  <c r="L211" i="11"/>
  <c r="J24" i="11"/>
  <c r="N24" i="11" s="1"/>
  <c r="J31" i="11"/>
  <c r="N31" i="11" s="1"/>
  <c r="P31" i="11" s="1"/>
  <c r="J37" i="11"/>
  <c r="N37" i="11" s="1"/>
  <c r="H38" i="11"/>
  <c r="S38" i="11" s="1"/>
  <c r="L42" i="11"/>
  <c r="J43" i="11"/>
  <c r="N43" i="11" s="1"/>
  <c r="P43" i="11" s="1"/>
  <c r="J55" i="11"/>
  <c r="N55" i="11" s="1"/>
  <c r="L64" i="11"/>
  <c r="J65" i="11"/>
  <c r="N65" i="11" s="1"/>
  <c r="P65" i="11" s="1"/>
  <c r="H72" i="11"/>
  <c r="S284" i="11" s="1"/>
  <c r="L75" i="11"/>
  <c r="J76" i="11"/>
  <c r="N76" i="11" s="1"/>
  <c r="P76" i="11" s="1"/>
  <c r="H88" i="11"/>
  <c r="H92" i="11"/>
  <c r="S96" i="11"/>
  <c r="H100" i="11"/>
  <c r="S100" i="11" s="1"/>
  <c r="H106" i="11"/>
  <c r="S106" i="11" s="1"/>
  <c r="J112" i="11"/>
  <c r="N112" i="11" s="1"/>
  <c r="L137" i="11"/>
  <c r="L174" i="11"/>
  <c r="J176" i="11"/>
  <c r="N176" i="11" s="1"/>
  <c r="I72" i="11"/>
  <c r="L112" i="11"/>
  <c r="J113" i="11"/>
  <c r="N113" i="11" s="1"/>
  <c r="J121" i="11"/>
  <c r="N121" i="11" s="1"/>
  <c r="J179" i="11"/>
  <c r="N179" i="11" s="1"/>
  <c r="L182" i="11"/>
  <c r="J190" i="11"/>
  <c r="N190" i="11" s="1"/>
  <c r="L194" i="11"/>
  <c r="L203" i="11"/>
  <c r="L205" i="11"/>
  <c r="L212" i="11"/>
  <c r="L25" i="11"/>
  <c r="J26" i="11"/>
  <c r="N26" i="11" s="1"/>
  <c r="L44" i="11"/>
  <c r="J45" i="11"/>
  <c r="N45" i="11" s="1"/>
  <c r="J56" i="11"/>
  <c r="N56" i="11" s="1"/>
  <c r="M65" i="11"/>
  <c r="L66" i="11"/>
  <c r="J67" i="11"/>
  <c r="N67" i="11" s="1"/>
  <c r="L77" i="11"/>
  <c r="J78" i="11"/>
  <c r="N78" i="11" s="1"/>
  <c r="J101" i="11"/>
  <c r="N101" i="11" s="1"/>
  <c r="L113" i="11"/>
  <c r="J114" i="11"/>
  <c r="N114" i="11" s="1"/>
  <c r="L121" i="11"/>
  <c r="J122" i="11"/>
  <c r="N122" i="11" s="1"/>
  <c r="J128" i="11"/>
  <c r="N128" i="11" s="1"/>
  <c r="J133" i="11"/>
  <c r="N133" i="11" s="1"/>
  <c r="J140" i="11"/>
  <c r="N140" i="11" s="1"/>
  <c r="J148" i="11"/>
  <c r="N148" i="11" s="1"/>
  <c r="J164" i="11"/>
  <c r="N164" i="11" s="1"/>
  <c r="K191" i="11"/>
  <c r="L191" i="11" s="1"/>
  <c r="J191" i="11"/>
  <c r="N191" i="11" s="1"/>
  <c r="L198" i="11"/>
  <c r="L209" i="11"/>
  <c r="J21" i="11"/>
  <c r="N21" i="11" s="1"/>
  <c r="P21" i="11" s="1"/>
  <c r="L33" i="11"/>
  <c r="J39" i="11"/>
  <c r="N39" i="11" s="1"/>
  <c r="L45" i="11"/>
  <c r="J46" i="11"/>
  <c r="N46" i="11" s="1"/>
  <c r="L50" i="11"/>
  <c r="J51" i="11"/>
  <c r="N51" i="11" s="1"/>
  <c r="L56" i="11"/>
  <c r="J57" i="11"/>
  <c r="N57" i="11" s="1"/>
  <c r="L67" i="11"/>
  <c r="J68" i="11"/>
  <c r="N68" i="11" s="1"/>
  <c r="L78" i="11"/>
  <c r="J79" i="11"/>
  <c r="N79" i="11" s="1"/>
  <c r="J83" i="11"/>
  <c r="N83" i="11" s="1"/>
  <c r="J89" i="11"/>
  <c r="N89" i="11" s="1"/>
  <c r="J93" i="11"/>
  <c r="N93" i="11" s="1"/>
  <c r="S97" i="11"/>
  <c r="L101" i="11"/>
  <c r="J107" i="11"/>
  <c r="N107" i="11" s="1"/>
  <c r="L114" i="11"/>
  <c r="L122" i="11"/>
  <c r="J123" i="11"/>
  <c r="N123" i="11" s="1"/>
  <c r="L128" i="11"/>
  <c r="J129" i="11"/>
  <c r="N129" i="11" s="1"/>
  <c r="J142" i="11"/>
  <c r="N142" i="11" s="1"/>
  <c r="J144" i="11"/>
  <c r="N144" i="11" s="1"/>
  <c r="J147" i="11"/>
  <c r="N147" i="11" s="1"/>
  <c r="J152" i="11"/>
  <c r="N152" i="11" s="1"/>
  <c r="J153" i="11"/>
  <c r="N153" i="11" s="1"/>
  <c r="J159" i="11"/>
  <c r="N159" i="11" s="1"/>
  <c r="J161" i="11"/>
  <c r="N161" i="11" s="1"/>
  <c r="L162" i="11"/>
  <c r="J167" i="11"/>
  <c r="N167" i="11" s="1"/>
  <c r="L170" i="11"/>
  <c r="J173" i="11"/>
  <c r="N173" i="11" s="1"/>
  <c r="L280" i="11"/>
  <c r="J22" i="11"/>
  <c r="N22" i="11" s="1"/>
  <c r="P22" i="11" s="1"/>
  <c r="J27" i="11"/>
  <c r="N27" i="11" s="1"/>
  <c r="J28" i="11"/>
  <c r="N28" i="11" s="1"/>
  <c r="L39" i="11"/>
  <c r="J40" i="11"/>
  <c r="N40" i="11" s="1"/>
  <c r="L46" i="11"/>
  <c r="J47" i="11"/>
  <c r="N47" i="11" s="1"/>
  <c r="L51" i="11"/>
  <c r="J52" i="11"/>
  <c r="N52" i="11" s="1"/>
  <c r="L57" i="11"/>
  <c r="J58" i="11"/>
  <c r="N58" i="11" s="1"/>
  <c r="L68" i="11"/>
  <c r="J69" i="11"/>
  <c r="N69" i="11" s="1"/>
  <c r="L79" i="11"/>
  <c r="J80" i="11"/>
  <c r="N80" i="11" s="1"/>
  <c r="L83" i="11"/>
  <c r="L107" i="11"/>
  <c r="J116" i="11"/>
  <c r="N116" i="11" s="1"/>
  <c r="J124" i="11"/>
  <c r="N124" i="11" s="1"/>
  <c r="P124" i="11" s="1"/>
  <c r="K142" i="11"/>
  <c r="L142" i="11" s="1"/>
  <c r="K144" i="11"/>
  <c r="L144" i="11" s="1"/>
  <c r="L146" i="11"/>
  <c r="L147" i="11"/>
  <c r="J151" i="11"/>
  <c r="N151" i="11" s="1"/>
  <c r="L155" i="11"/>
  <c r="K159" i="11"/>
  <c r="L159" i="11" s="1"/>
  <c r="L161" i="11"/>
  <c r="L167" i="11"/>
  <c r="J175" i="11"/>
  <c r="N175" i="11" s="1"/>
  <c r="J183" i="11"/>
  <c r="N183" i="11" s="1"/>
  <c r="L201" i="11"/>
  <c r="J206" i="11"/>
  <c r="N206" i="11" s="1"/>
  <c r="L309" i="11"/>
  <c r="L318" i="11"/>
  <c r="L333" i="11"/>
  <c r="L279" i="11"/>
  <c r="L285" i="11"/>
  <c r="J198" i="11"/>
  <c r="N198" i="11" s="1"/>
  <c r="J203" i="11"/>
  <c r="N203" i="11" s="1"/>
  <c r="J207" i="11"/>
  <c r="N207" i="11" s="1"/>
  <c r="J212" i="11"/>
  <c r="N212" i="11" s="1"/>
  <c r="L246" i="11"/>
  <c r="J255" i="11"/>
  <c r="N255" i="11" s="1"/>
  <c r="L301" i="11"/>
  <c r="K255" i="11"/>
  <c r="L255" i="11" s="1"/>
  <c r="L283" i="11"/>
  <c r="J222" i="11"/>
  <c r="N222" i="11" s="1"/>
  <c r="L248" i="11"/>
  <c r="L252" i="11"/>
  <c r="J215" i="11"/>
  <c r="N215" i="11" s="1"/>
  <c r="K222" i="11"/>
  <c r="L222" i="11" s="1"/>
  <c r="J291" i="11"/>
  <c r="N291" i="11" s="1"/>
  <c r="J205" i="11"/>
  <c r="N205" i="11" s="1"/>
  <c r="K215" i="11"/>
  <c r="L215" i="11" s="1"/>
  <c r="J256" i="11"/>
  <c r="N256" i="11" s="1"/>
  <c r="L284" i="11"/>
  <c r="L291" i="11"/>
  <c r="K256" i="11"/>
  <c r="L256" i="11" s="1"/>
  <c r="J299" i="11"/>
  <c r="N299" i="11" s="1"/>
  <c r="L315" i="11"/>
  <c r="L322" i="11"/>
  <c r="L337" i="11"/>
  <c r="L299" i="11"/>
  <c r="J350" i="11"/>
  <c r="N350" i="11" s="1"/>
  <c r="J284" i="11"/>
  <c r="N284" i="11" s="1"/>
  <c r="L316" i="11"/>
  <c r="L334" i="11"/>
  <c r="J258" i="11"/>
  <c r="N258" i="11" s="1"/>
  <c r="J280" i="11"/>
  <c r="N280" i="11" s="1"/>
  <c r="J285" i="11"/>
  <c r="N285" i="11" s="1"/>
  <c r="J312" i="11"/>
  <c r="N312" i="11" s="1"/>
  <c r="L320" i="11"/>
  <c r="L357" i="11"/>
  <c r="J298" i="11"/>
  <c r="N298" i="11" s="1"/>
  <c r="J300" i="11"/>
  <c r="N300" i="11" s="1"/>
  <c r="K300" i="11"/>
  <c r="L300" i="11" s="1"/>
  <c r="J317" i="11"/>
  <c r="N317" i="11" s="1"/>
  <c r="L335" i="11"/>
  <c r="H294" i="11"/>
  <c r="L294" i="11"/>
  <c r="L298" i="11"/>
  <c r="J309" i="11"/>
  <c r="N309" i="11" s="1"/>
  <c r="L314" i="11"/>
  <c r="L321" i="11"/>
  <c r="L326" i="11"/>
  <c r="L336" i="11"/>
  <c r="K312" i="11"/>
  <c r="L312" i="11" s="1"/>
  <c r="K317" i="11"/>
  <c r="L317" i="11" s="1"/>
  <c r="J335" i="11"/>
  <c r="N335" i="11" s="1"/>
  <c r="K350" i="11"/>
  <c r="L350" i="11" s="1"/>
  <c r="J381" i="11"/>
  <c r="N381" i="11" s="1"/>
  <c r="L385" i="11"/>
  <c r="L392" i="11"/>
  <c r="L396" i="11"/>
  <c r="L388" i="11"/>
  <c r="L394" i="11"/>
  <c r="L369" i="11"/>
  <c r="K397" i="11"/>
  <c r="L397" i="11" s="1"/>
  <c r="J397" i="11"/>
  <c r="N397" i="11" s="1"/>
  <c r="J369" i="11"/>
  <c r="N369" i="11" s="1"/>
  <c r="J408" i="11"/>
  <c r="N408" i="11" s="1"/>
  <c r="K408" i="11"/>
  <c r="L408" i="11" s="1"/>
  <c r="J413" i="11"/>
  <c r="N413" i="11" s="1"/>
  <c r="L419" i="11"/>
  <c r="J391" i="11"/>
  <c r="N391" i="11" s="1"/>
  <c r="L413" i="11"/>
  <c r="L426" i="11"/>
  <c r="L430" i="11"/>
  <c r="L359" i="11"/>
  <c r="L391" i="11"/>
  <c r="L395" i="11"/>
  <c r="L417" i="11"/>
  <c r="K440" i="11"/>
  <c r="L440" i="11" s="1"/>
  <c r="J440" i="11"/>
  <c r="N440" i="11" s="1"/>
  <c r="L443" i="11"/>
  <c r="L370" i="11"/>
  <c r="K358" i="11"/>
  <c r="L358" i="11" s="1"/>
  <c r="J358" i="11"/>
  <c r="N358" i="11" s="1"/>
  <c r="L414" i="11"/>
  <c r="L431" i="11"/>
  <c r="L444" i="11"/>
  <c r="L452" i="11"/>
  <c r="L445" i="11"/>
  <c r="L450" i="11"/>
  <c r="J460" i="11"/>
  <c r="N460" i="11" s="1"/>
  <c r="J445" i="11"/>
  <c r="N445" i="11" s="1"/>
  <c r="K460" i="11"/>
  <c r="L460" i="11" s="1"/>
  <c r="J479" i="11"/>
  <c r="N479" i="11" s="1"/>
  <c r="L405" i="11"/>
  <c r="J418" i="11"/>
  <c r="N418" i="11" s="1"/>
  <c r="L467" i="11"/>
  <c r="L479" i="11"/>
  <c r="J370" i="11"/>
  <c r="N370" i="11" s="1"/>
  <c r="L387" i="11"/>
  <c r="J396" i="11"/>
  <c r="N396" i="11" s="1"/>
  <c r="K418" i="11"/>
  <c r="L418" i="11" s="1"/>
  <c r="J423" i="11"/>
  <c r="N423" i="11" s="1"/>
  <c r="L424" i="11"/>
  <c r="J431" i="11"/>
  <c r="N431" i="11" s="1"/>
  <c r="J444" i="11"/>
  <c r="N444" i="11" s="1"/>
  <c r="K449" i="11"/>
  <c r="L449" i="11" s="1"/>
  <c r="J449" i="11"/>
  <c r="N449" i="11" s="1"/>
  <c r="K393" i="11"/>
  <c r="L393" i="11" s="1"/>
  <c r="J393" i="11"/>
  <c r="N393" i="11" s="1"/>
  <c r="J395" i="11"/>
  <c r="N395" i="11" s="1"/>
  <c r="K411" i="11"/>
  <c r="L411" i="11" s="1"/>
  <c r="J411" i="11"/>
  <c r="N411" i="11" s="1"/>
  <c r="L421" i="11"/>
  <c r="L423" i="11"/>
  <c r="J430" i="11"/>
  <c r="N430" i="11" s="1"/>
  <c r="J384" i="11"/>
  <c r="N384" i="11" s="1"/>
  <c r="L386" i="11"/>
  <c r="K384" i="11"/>
  <c r="L384" i="11" s="1"/>
  <c r="J385" i="11"/>
  <c r="N385" i="11" s="1"/>
  <c r="J392" i="11"/>
  <c r="N392" i="11" s="1"/>
  <c r="K441" i="11"/>
  <c r="L441" i="11" s="1"/>
  <c r="J441" i="11"/>
  <c r="N441" i="11" s="1"/>
  <c r="J446" i="11"/>
  <c r="N446" i="11" s="1"/>
  <c r="K446" i="11"/>
  <c r="L446" i="11" s="1"/>
  <c r="L383" i="11"/>
  <c r="K389" i="11"/>
  <c r="L389" i="11" s="1"/>
  <c r="J389" i="11"/>
  <c r="N389" i="11" s="1"/>
  <c r="J406" i="11"/>
  <c r="N406" i="11" s="1"/>
  <c r="L410" i="11"/>
  <c r="L455" i="11"/>
  <c r="L466" i="11"/>
  <c r="J419" i="11"/>
  <c r="N419" i="11" s="1"/>
  <c r="J468" i="11"/>
  <c r="N468" i="11" s="1"/>
  <c r="J477" i="11"/>
  <c r="N477" i="11" s="1"/>
  <c r="J442" i="11"/>
  <c r="N442" i="11" s="1"/>
  <c r="J450" i="11"/>
  <c r="N450" i="11" s="1"/>
  <c r="J451" i="11"/>
  <c r="N451" i="11" s="1"/>
  <c r="J466" i="11"/>
  <c r="N466" i="11" s="1"/>
  <c r="J467" i="11"/>
  <c r="N467" i="11" s="1"/>
  <c r="K468" i="11"/>
  <c r="L468" i="11" s="1"/>
  <c r="K477" i="11"/>
  <c r="L477" i="11" s="1"/>
  <c r="K480" i="11"/>
  <c r="L480" i="11" s="1"/>
  <c r="J480" i="11"/>
  <c r="N480" i="11" s="1"/>
  <c r="J414" i="11"/>
  <c r="N414" i="11" s="1"/>
  <c r="K442" i="11"/>
  <c r="L442" i="11" s="1"/>
  <c r="K451" i="11"/>
  <c r="L451" i="11" s="1"/>
  <c r="L144" i="5"/>
  <c r="H147" i="5" s="1"/>
  <c r="I466" i="3" s="1"/>
  <c r="L146" i="5"/>
  <c r="L145" i="5"/>
  <c r="L110" i="5"/>
  <c r="L111" i="5"/>
  <c r="L112" i="5"/>
  <c r="L109" i="5"/>
  <c r="L108" i="5"/>
  <c r="L107" i="5"/>
  <c r="L106" i="5" s="1"/>
  <c r="H211" i="3" s="1"/>
  <c r="L137" i="5"/>
  <c r="L138" i="5"/>
  <c r="L136" i="5"/>
  <c r="L128" i="5"/>
  <c r="L120" i="5"/>
  <c r="K119" i="5"/>
  <c r="K127" i="5" s="1"/>
  <c r="K118" i="5"/>
  <c r="K126" i="5" s="1"/>
  <c r="L94" i="5"/>
  <c r="L91" i="5"/>
  <c r="K97" i="5"/>
  <c r="L97" i="5" s="1"/>
  <c r="K96" i="5"/>
  <c r="L96" i="5" s="1"/>
  <c r="K94" i="5"/>
  <c r="K91" i="5"/>
  <c r="L77" i="5"/>
  <c r="L82" i="5"/>
  <c r="L83" i="5"/>
  <c r="L74" i="5"/>
  <c r="K84" i="5"/>
  <c r="L84" i="5" s="1"/>
  <c r="K83" i="5"/>
  <c r="K81" i="5"/>
  <c r="K95" i="5" s="1"/>
  <c r="L95" i="5" s="1"/>
  <c r="K80" i="5"/>
  <c r="K99" i="5" s="1"/>
  <c r="L99" i="5" s="1"/>
  <c r="K79" i="5"/>
  <c r="L79" i="5" s="1"/>
  <c r="K78" i="5"/>
  <c r="L78" i="5" s="1"/>
  <c r="K77" i="5"/>
  <c r="K101" i="5" s="1"/>
  <c r="L101" i="5" s="1"/>
  <c r="K76" i="5"/>
  <c r="K93" i="5" s="1"/>
  <c r="L93" i="5" s="1"/>
  <c r="K73" i="5"/>
  <c r="K92" i="5" s="1"/>
  <c r="L92" i="5" s="1"/>
  <c r="L60" i="5"/>
  <c r="L61" i="5"/>
  <c r="L62" i="5"/>
  <c r="L63" i="5"/>
  <c r="L64" i="5"/>
  <c r="L65" i="5"/>
  <c r="L66" i="5"/>
  <c r="L67" i="5"/>
  <c r="L59" i="5"/>
  <c r="L57" i="5"/>
  <c r="K58" i="5"/>
  <c r="K75" i="5" s="1"/>
  <c r="L49" i="5"/>
  <c r="H52" i="5" s="1"/>
  <c r="I82" i="3" s="1"/>
  <c r="L50" i="5"/>
  <c r="L51" i="5"/>
  <c r="L41" i="5"/>
  <c r="L38" i="5"/>
  <c r="K43" i="5"/>
  <c r="L43" i="5" s="1"/>
  <c r="K42" i="5"/>
  <c r="L42" i="5" s="1"/>
  <c r="K38" i="5"/>
  <c r="K41" i="5"/>
  <c r="K40" i="5"/>
  <c r="L40" i="5" s="1"/>
  <c r="K39" i="5"/>
  <c r="L39" i="5" s="1"/>
  <c r="L32" i="5"/>
  <c r="L28" i="5"/>
  <c r="L29" i="5"/>
  <c r="L30" i="5"/>
  <c r="L31" i="5"/>
  <c r="L27" i="5"/>
  <c r="H33" i="5" s="1"/>
  <c r="I60" i="3" s="1"/>
  <c r="I35" i="3"/>
  <c r="L19" i="5"/>
  <c r="H35" i="3" s="1"/>
  <c r="K35" i="3" s="1"/>
  <c r="L22" i="5"/>
  <c r="L21" i="5"/>
  <c r="L20" i="5"/>
  <c r="K480" i="3"/>
  <c r="I480" i="3"/>
  <c r="I479" i="3"/>
  <c r="K479" i="3" s="1"/>
  <c r="K477" i="3"/>
  <c r="I477" i="3"/>
  <c r="K468" i="3"/>
  <c r="I468" i="3"/>
  <c r="K467" i="3"/>
  <c r="I467" i="3"/>
  <c r="I460" i="3"/>
  <c r="K460" i="3" s="1"/>
  <c r="K455" i="3"/>
  <c r="I455" i="3"/>
  <c r="K452" i="3"/>
  <c r="I452" i="3"/>
  <c r="K451" i="3"/>
  <c r="I451" i="3"/>
  <c r="I450" i="3"/>
  <c r="K450" i="3" s="1"/>
  <c r="K449" i="3"/>
  <c r="I449" i="3"/>
  <c r="K446" i="3"/>
  <c r="I446" i="3"/>
  <c r="K445" i="3"/>
  <c r="I445" i="3"/>
  <c r="I444" i="3"/>
  <c r="K444" i="3" s="1"/>
  <c r="K443" i="3"/>
  <c r="I443" i="3"/>
  <c r="K442" i="3"/>
  <c r="I442" i="3"/>
  <c r="K441" i="3"/>
  <c r="I441" i="3"/>
  <c r="I440" i="3"/>
  <c r="K440" i="3" s="1"/>
  <c r="K431" i="3"/>
  <c r="I431" i="3"/>
  <c r="K430" i="3"/>
  <c r="I430" i="3"/>
  <c r="K426" i="3"/>
  <c r="I426" i="3"/>
  <c r="I423" i="3"/>
  <c r="K423" i="3" s="1"/>
  <c r="K421" i="3"/>
  <c r="I421" i="3"/>
  <c r="K419" i="3"/>
  <c r="I419" i="3"/>
  <c r="K418" i="3"/>
  <c r="I418" i="3"/>
  <c r="I417" i="3"/>
  <c r="K417" i="3" s="1"/>
  <c r="K414" i="3"/>
  <c r="I414" i="3"/>
  <c r="K413" i="3"/>
  <c r="I413" i="3"/>
  <c r="K411" i="3"/>
  <c r="I411" i="3"/>
  <c r="I410" i="3"/>
  <c r="K410" i="3" s="1"/>
  <c r="K409" i="3"/>
  <c r="I408" i="3"/>
  <c r="K408" i="3" s="1"/>
  <c r="I406" i="3"/>
  <c r="K406" i="3" s="1"/>
  <c r="I405" i="3"/>
  <c r="K405" i="3" s="1"/>
  <c r="I404" i="3"/>
  <c r="K404" i="3" s="1"/>
  <c r="I397" i="3"/>
  <c r="K397" i="3" s="1"/>
  <c r="I396" i="3"/>
  <c r="K396" i="3" s="1"/>
  <c r="I395" i="3"/>
  <c r="K395" i="3" s="1"/>
  <c r="I394" i="3"/>
  <c r="K394" i="3" s="1"/>
  <c r="I393" i="3"/>
  <c r="K393" i="3" s="1"/>
  <c r="I392" i="3"/>
  <c r="K392" i="3" s="1"/>
  <c r="I391" i="3"/>
  <c r="K391" i="3" s="1"/>
  <c r="I390" i="3"/>
  <c r="K390" i="3" s="1"/>
  <c r="I389" i="3"/>
  <c r="K389" i="3" s="1"/>
  <c r="I388" i="3"/>
  <c r="K388" i="3" s="1"/>
  <c r="K387" i="3"/>
  <c r="K386" i="3"/>
  <c r="I385" i="3"/>
  <c r="K385" i="3" s="1"/>
  <c r="I384" i="3"/>
  <c r="K384" i="3" s="1"/>
  <c r="K383" i="3"/>
  <c r="K381" i="3"/>
  <c r="I381" i="3"/>
  <c r="I370" i="3"/>
  <c r="K370" i="3" s="1"/>
  <c r="K369" i="3"/>
  <c r="I369" i="3"/>
  <c r="K361" i="3"/>
  <c r="I361" i="3"/>
  <c r="K359" i="3"/>
  <c r="I359" i="3"/>
  <c r="I358" i="3"/>
  <c r="K358" i="3" s="1"/>
  <c r="K357" i="3"/>
  <c r="I357" i="3"/>
  <c r="K350" i="3"/>
  <c r="I350" i="3"/>
  <c r="K337" i="3"/>
  <c r="I337" i="3"/>
  <c r="I336" i="3"/>
  <c r="K336" i="3" s="1"/>
  <c r="K335" i="3"/>
  <c r="I335" i="3"/>
  <c r="K334" i="3"/>
  <c r="I334" i="3"/>
  <c r="K333" i="3"/>
  <c r="I333" i="3"/>
  <c r="K332" i="3"/>
  <c r="I326" i="3"/>
  <c r="K326" i="3" s="1"/>
  <c r="K323" i="3"/>
  <c r="K322" i="3"/>
  <c r="I321" i="3"/>
  <c r="K321" i="3" s="1"/>
  <c r="I320" i="3"/>
  <c r="K320" i="3" s="1"/>
  <c r="K319" i="3"/>
  <c r="K318" i="3"/>
  <c r="I318" i="3"/>
  <c r="K317" i="3"/>
  <c r="I317" i="3"/>
  <c r="K316" i="3"/>
  <c r="I315" i="3"/>
  <c r="K315" i="3" s="1"/>
  <c r="I314" i="3"/>
  <c r="K314" i="3" s="1"/>
  <c r="I312" i="3"/>
  <c r="K312" i="3" s="1"/>
  <c r="I309" i="3"/>
  <c r="K309" i="3" s="1"/>
  <c r="I300" i="3"/>
  <c r="K300" i="3" s="1"/>
  <c r="I299" i="3"/>
  <c r="K299" i="3" s="1"/>
  <c r="I298" i="3"/>
  <c r="K298" i="3" s="1"/>
  <c r="I293" i="3"/>
  <c r="K293" i="3" s="1"/>
  <c r="I291" i="3"/>
  <c r="K291" i="3" s="1"/>
  <c r="I285" i="3"/>
  <c r="K285" i="3" s="1"/>
  <c r="I284" i="3"/>
  <c r="K284" i="3" s="1"/>
  <c r="I283" i="3"/>
  <c r="K283" i="3" s="1"/>
  <c r="I282" i="3"/>
  <c r="K282" i="3" s="1"/>
  <c r="I281" i="3"/>
  <c r="K281" i="3" s="1"/>
  <c r="I280" i="3"/>
  <c r="K280" i="3" s="1"/>
  <c r="I279" i="3"/>
  <c r="K279" i="3" s="1"/>
  <c r="I258" i="3"/>
  <c r="K258" i="3" s="1"/>
  <c r="I256" i="3"/>
  <c r="I252" i="3"/>
  <c r="K252" i="3" s="1"/>
  <c r="I248" i="3"/>
  <c r="K248" i="3" s="1"/>
  <c r="I246" i="3"/>
  <c r="I222" i="3"/>
  <c r="K222" i="3" s="1"/>
  <c r="I215" i="3"/>
  <c r="K215" i="3" s="1"/>
  <c r="I212" i="3"/>
  <c r="K212" i="3" s="1"/>
  <c r="K209" i="3"/>
  <c r="I207" i="3"/>
  <c r="K207" i="3" s="1"/>
  <c r="K206" i="3"/>
  <c r="I206" i="3"/>
  <c r="K205" i="3"/>
  <c r="I205" i="3"/>
  <c r="K204" i="3"/>
  <c r="I204" i="3"/>
  <c r="I203" i="3"/>
  <c r="K203" i="3" s="1"/>
  <c r="K202" i="3"/>
  <c r="I202" i="3"/>
  <c r="K199" i="3"/>
  <c r="I199" i="3"/>
  <c r="K198" i="3"/>
  <c r="I198" i="3"/>
  <c r="I196" i="3"/>
  <c r="K196" i="3" s="1"/>
  <c r="K194" i="3"/>
  <c r="I191" i="3"/>
  <c r="K191" i="3" s="1"/>
  <c r="I185" i="3"/>
  <c r="K185" i="3" s="1"/>
  <c r="K164" i="3"/>
  <c r="K162" i="3"/>
  <c r="K161" i="3"/>
  <c r="K159" i="3"/>
  <c r="I159" i="3"/>
  <c r="K148" i="3"/>
  <c r="I148" i="3"/>
  <c r="K144" i="3"/>
  <c r="I144" i="3"/>
  <c r="I145" i="3"/>
  <c r="K145" i="3" s="1"/>
  <c r="K143" i="3"/>
  <c r="I143" i="3"/>
  <c r="K142" i="3"/>
  <c r="I142" i="3"/>
  <c r="K140" i="3"/>
  <c r="I140" i="3"/>
  <c r="I133" i="3"/>
  <c r="K133" i="3" s="1"/>
  <c r="K132" i="3"/>
  <c r="I132" i="3"/>
  <c r="K129" i="3"/>
  <c r="I129" i="3"/>
  <c r="I125" i="3"/>
  <c r="K125" i="3" s="1"/>
  <c r="I123" i="3"/>
  <c r="I102" i="3"/>
  <c r="K102" i="3" s="1"/>
  <c r="I23" i="3"/>
  <c r="K131" i="3"/>
  <c r="I131" i="3"/>
  <c r="K124" i="3"/>
  <c r="K123" i="3"/>
  <c r="K110" i="3"/>
  <c r="S481" i="12" l="1"/>
  <c r="O483" i="12" s="1"/>
  <c r="M105" i="11"/>
  <c r="M49" i="11"/>
  <c r="O96" i="11"/>
  <c r="P96" i="11" s="1"/>
  <c r="M117" i="11"/>
  <c r="O82" i="11"/>
  <c r="P82" i="11" s="1"/>
  <c r="M76" i="11"/>
  <c r="M43" i="11"/>
  <c r="M245" i="11"/>
  <c r="S368" i="11"/>
  <c r="S261" i="11"/>
  <c r="M71" i="11"/>
  <c r="K61" i="11"/>
  <c r="P199" i="11"/>
  <c r="S74" i="11"/>
  <c r="S309" i="11"/>
  <c r="S48" i="11"/>
  <c r="S412" i="11"/>
  <c r="S294" i="11"/>
  <c r="S256" i="11"/>
  <c r="S55" i="11"/>
  <c r="S388" i="11"/>
  <c r="S63" i="11"/>
  <c r="S409" i="11"/>
  <c r="S230" i="11"/>
  <c r="S92" i="11"/>
  <c r="S300" i="11"/>
  <c r="S41" i="11"/>
  <c r="S404" i="11"/>
  <c r="S80" i="11"/>
  <c r="S88" i="11"/>
  <c r="S158" i="11"/>
  <c r="O468" i="11"/>
  <c r="P468" i="11" s="1"/>
  <c r="M468" i="11"/>
  <c r="M477" i="11"/>
  <c r="O477" i="11"/>
  <c r="P477" i="11" s="1"/>
  <c r="O383" i="11"/>
  <c r="P383" i="11" s="1"/>
  <c r="M383" i="11"/>
  <c r="M386" i="11"/>
  <c r="O386" i="11"/>
  <c r="P386" i="11" s="1"/>
  <c r="O418" i="11"/>
  <c r="P418" i="11" s="1"/>
  <c r="M418" i="11"/>
  <c r="O431" i="11"/>
  <c r="P431" i="11" s="1"/>
  <c r="M431" i="11"/>
  <c r="O417" i="11"/>
  <c r="P417" i="11" s="1"/>
  <c r="M417" i="11"/>
  <c r="M419" i="11"/>
  <c r="O419" i="11"/>
  <c r="P419" i="11" s="1"/>
  <c r="M394" i="11"/>
  <c r="O394" i="11"/>
  <c r="P394" i="11" s="1"/>
  <c r="O317" i="11"/>
  <c r="P317" i="11" s="1"/>
  <c r="M317" i="11"/>
  <c r="O294" i="11"/>
  <c r="P294" i="11" s="1"/>
  <c r="M294" i="11"/>
  <c r="M320" i="11"/>
  <c r="O320" i="11"/>
  <c r="P320" i="11" s="1"/>
  <c r="O284" i="11"/>
  <c r="P284" i="11" s="1"/>
  <c r="M284" i="11"/>
  <c r="O248" i="11"/>
  <c r="P248" i="11" s="1"/>
  <c r="M248" i="11"/>
  <c r="O83" i="11"/>
  <c r="P83" i="11" s="1"/>
  <c r="M83" i="11"/>
  <c r="O51" i="11"/>
  <c r="P51" i="11" s="1"/>
  <c r="M51" i="11"/>
  <c r="M280" i="11"/>
  <c r="O280" i="11"/>
  <c r="P280" i="11" s="1"/>
  <c r="M114" i="11"/>
  <c r="O114" i="11"/>
  <c r="P114" i="11" s="1"/>
  <c r="M78" i="11"/>
  <c r="O78" i="11"/>
  <c r="P78" i="11" s="1"/>
  <c r="M45" i="11"/>
  <c r="O45" i="11"/>
  <c r="P45" i="11" s="1"/>
  <c r="M113" i="11"/>
  <c r="O113" i="11"/>
  <c r="P113" i="11" s="1"/>
  <c r="M66" i="11"/>
  <c r="O66" i="11"/>
  <c r="P66" i="11" s="1"/>
  <c r="H81" i="11"/>
  <c r="S72" i="11"/>
  <c r="O95" i="11"/>
  <c r="P95" i="11" s="1"/>
  <c r="M95" i="11"/>
  <c r="M204" i="11"/>
  <c r="O204" i="11"/>
  <c r="P204" i="11" s="1"/>
  <c r="O143" i="11"/>
  <c r="P143" i="11" s="1"/>
  <c r="M143" i="11"/>
  <c r="O89" i="11"/>
  <c r="P89" i="11" s="1"/>
  <c r="M89" i="11"/>
  <c r="O58" i="11"/>
  <c r="P58" i="11" s="1"/>
  <c r="M58" i="11"/>
  <c r="M243" i="11"/>
  <c r="O243" i="11"/>
  <c r="P243" i="11" s="1"/>
  <c r="O270" i="11"/>
  <c r="P270" i="11" s="1"/>
  <c r="M270" i="11"/>
  <c r="O230" i="11"/>
  <c r="P230" i="11" s="1"/>
  <c r="M230" i="11"/>
  <c r="O269" i="11"/>
  <c r="P269" i="11" s="1"/>
  <c r="M269" i="11"/>
  <c r="O259" i="11"/>
  <c r="P259" i="11" s="1"/>
  <c r="M259" i="11"/>
  <c r="O349" i="11"/>
  <c r="P349" i="11" s="1"/>
  <c r="M349" i="11"/>
  <c r="O297" i="11"/>
  <c r="P297" i="11" s="1"/>
  <c r="M297" i="11"/>
  <c r="O286" i="11"/>
  <c r="P286" i="11" s="1"/>
  <c r="M286" i="11"/>
  <c r="M382" i="11"/>
  <c r="O382" i="11"/>
  <c r="P382" i="11" s="1"/>
  <c r="O412" i="11"/>
  <c r="P412" i="11" s="1"/>
  <c r="M412" i="11"/>
  <c r="M364" i="11"/>
  <c r="O364" i="11"/>
  <c r="P364" i="11" s="1"/>
  <c r="M365" i="11"/>
  <c r="O365" i="11"/>
  <c r="P365" i="11" s="1"/>
  <c r="O401" i="11"/>
  <c r="P401" i="11" s="1"/>
  <c r="M401" i="11"/>
  <c r="O380" i="11"/>
  <c r="P380" i="11" s="1"/>
  <c r="M380" i="11"/>
  <c r="M439" i="11"/>
  <c r="O439" i="11"/>
  <c r="P439" i="11" s="1"/>
  <c r="O473" i="11"/>
  <c r="P473" i="11" s="1"/>
  <c r="M473" i="11"/>
  <c r="M59" i="11"/>
  <c r="M164" i="11"/>
  <c r="P37" i="11"/>
  <c r="P110" i="11"/>
  <c r="M26" i="11"/>
  <c r="M133" i="11"/>
  <c r="O460" i="11"/>
  <c r="P460" i="11" s="1"/>
  <c r="M460" i="11"/>
  <c r="O395" i="11"/>
  <c r="P395" i="11" s="1"/>
  <c r="M395" i="11"/>
  <c r="M388" i="11"/>
  <c r="O388" i="11"/>
  <c r="P388" i="11" s="1"/>
  <c r="O299" i="11"/>
  <c r="P299" i="11" s="1"/>
  <c r="M299" i="11"/>
  <c r="O201" i="11"/>
  <c r="P201" i="11" s="1"/>
  <c r="M201" i="11"/>
  <c r="O147" i="11"/>
  <c r="P147" i="11" s="1"/>
  <c r="M147" i="11"/>
  <c r="M25" i="11"/>
  <c r="O25" i="11"/>
  <c r="P25" i="11" s="1"/>
  <c r="O136" i="11"/>
  <c r="P136" i="11" s="1"/>
  <c r="M136" i="11"/>
  <c r="O29" i="11"/>
  <c r="P29" i="11" s="1"/>
  <c r="M29" i="11"/>
  <c r="O183" i="11"/>
  <c r="P183" i="11" s="1"/>
  <c r="M183" i="11"/>
  <c r="O176" i="11"/>
  <c r="P176" i="11" s="1"/>
  <c r="M176" i="11"/>
  <c r="O223" i="11"/>
  <c r="P223" i="11" s="1"/>
  <c r="M223" i="11"/>
  <c r="M274" i="11"/>
  <c r="O274" i="11"/>
  <c r="P274" i="11" s="1"/>
  <c r="O188" i="11"/>
  <c r="P188" i="11" s="1"/>
  <c r="M188" i="11"/>
  <c r="O289" i="11"/>
  <c r="P289" i="11" s="1"/>
  <c r="M289" i="11"/>
  <c r="M263" i="11"/>
  <c r="O263" i="11"/>
  <c r="P263" i="11" s="1"/>
  <c r="O225" i="11"/>
  <c r="P225" i="11" s="1"/>
  <c r="M225" i="11"/>
  <c r="O264" i="11"/>
  <c r="P264" i="11" s="1"/>
  <c r="M264" i="11"/>
  <c r="O226" i="11"/>
  <c r="P226" i="11" s="1"/>
  <c r="M226" i="11"/>
  <c r="O253" i="11"/>
  <c r="P253" i="11" s="1"/>
  <c r="M253" i="11"/>
  <c r="O221" i="11"/>
  <c r="P221" i="11" s="1"/>
  <c r="M221" i="11"/>
  <c r="O305" i="11"/>
  <c r="P305" i="11" s="1"/>
  <c r="M305" i="11"/>
  <c r="O343" i="11"/>
  <c r="P343" i="11" s="1"/>
  <c r="M343" i="11"/>
  <c r="O368" i="11"/>
  <c r="P368" i="11" s="1"/>
  <c r="M368" i="11"/>
  <c r="O313" i="11"/>
  <c r="P313" i="11" s="1"/>
  <c r="M313" i="11"/>
  <c r="O308" i="11"/>
  <c r="P308" i="11" s="1"/>
  <c r="M308" i="11"/>
  <c r="O332" i="11"/>
  <c r="P332" i="11" s="1"/>
  <c r="M332" i="11"/>
  <c r="O406" i="11"/>
  <c r="P406" i="11" s="1"/>
  <c r="M406" i="11"/>
  <c r="O338" i="11"/>
  <c r="P338" i="11" s="1"/>
  <c r="M338" i="11"/>
  <c r="O457" i="11"/>
  <c r="P457" i="11" s="1"/>
  <c r="M457" i="11"/>
  <c r="O354" i="11"/>
  <c r="P354" i="11" s="1"/>
  <c r="M354" i="11"/>
  <c r="O416" i="11"/>
  <c r="P416" i="11" s="1"/>
  <c r="M416" i="11"/>
  <c r="O464" i="11"/>
  <c r="P464" i="11" s="1"/>
  <c r="M464" i="11"/>
  <c r="M472" i="11"/>
  <c r="O472" i="11"/>
  <c r="P472" i="11" s="1"/>
  <c r="P59" i="11"/>
  <c r="O41" i="11"/>
  <c r="P41" i="11" s="1"/>
  <c r="M41" i="11"/>
  <c r="P26" i="11"/>
  <c r="P133" i="11"/>
  <c r="O446" i="11"/>
  <c r="P446" i="11" s="1"/>
  <c r="M446" i="11"/>
  <c r="M466" i="11"/>
  <c r="O466" i="11"/>
  <c r="P466" i="11" s="1"/>
  <c r="O387" i="11"/>
  <c r="P387" i="11" s="1"/>
  <c r="M387" i="11"/>
  <c r="O391" i="11"/>
  <c r="P391" i="11" s="1"/>
  <c r="M391" i="11"/>
  <c r="O408" i="11"/>
  <c r="P408" i="11" s="1"/>
  <c r="M408" i="11"/>
  <c r="M396" i="11"/>
  <c r="O396" i="11"/>
  <c r="P396" i="11" s="1"/>
  <c r="O336" i="11"/>
  <c r="P336" i="11" s="1"/>
  <c r="M336" i="11"/>
  <c r="O335" i="11"/>
  <c r="P335" i="11" s="1"/>
  <c r="M335" i="11"/>
  <c r="M337" i="11"/>
  <c r="O337" i="11"/>
  <c r="P337" i="11" s="1"/>
  <c r="O215" i="11"/>
  <c r="P215" i="11" s="1"/>
  <c r="M215" i="11"/>
  <c r="O283" i="11"/>
  <c r="P283" i="11" s="1"/>
  <c r="M283" i="11"/>
  <c r="O146" i="11"/>
  <c r="P146" i="11" s="1"/>
  <c r="M146" i="11"/>
  <c r="O79" i="11"/>
  <c r="P79" i="11" s="1"/>
  <c r="M79" i="11"/>
  <c r="O46" i="11"/>
  <c r="P46" i="11" s="1"/>
  <c r="M46" i="11"/>
  <c r="O170" i="11"/>
  <c r="P170" i="11" s="1"/>
  <c r="M170" i="11"/>
  <c r="M101" i="11"/>
  <c r="O101" i="11"/>
  <c r="P101" i="11" s="1"/>
  <c r="M67" i="11"/>
  <c r="O67" i="11"/>
  <c r="P67" i="11" s="1"/>
  <c r="M33" i="11"/>
  <c r="O33" i="11"/>
  <c r="P33" i="11" s="1"/>
  <c r="O212" i="11"/>
  <c r="P212" i="11" s="1"/>
  <c r="M212" i="11"/>
  <c r="O64" i="11"/>
  <c r="P64" i="11" s="1"/>
  <c r="M64" i="11"/>
  <c r="O211" i="11"/>
  <c r="P211" i="11" s="1"/>
  <c r="M211" i="11"/>
  <c r="M135" i="11"/>
  <c r="M175" i="11"/>
  <c r="O175" i="11"/>
  <c r="P175" i="11" s="1"/>
  <c r="O80" i="11"/>
  <c r="P80" i="11" s="1"/>
  <c r="M80" i="11"/>
  <c r="O47" i="11"/>
  <c r="P47" i="11" s="1"/>
  <c r="M47" i="11"/>
  <c r="O192" i="11"/>
  <c r="P192" i="11" s="1"/>
  <c r="M192" i="11"/>
  <c r="M227" i="11"/>
  <c r="O227" i="11"/>
  <c r="P227" i="11" s="1"/>
  <c r="M217" i="11"/>
  <c r="O217" i="11"/>
  <c r="P217" i="11" s="1"/>
  <c r="O276" i="11"/>
  <c r="P276" i="11" s="1"/>
  <c r="M276" i="11"/>
  <c r="O195" i="11"/>
  <c r="P195" i="11" s="1"/>
  <c r="M195" i="11"/>
  <c r="O238" i="11"/>
  <c r="P238" i="11" s="1"/>
  <c r="M238" i="11"/>
  <c r="O277" i="11"/>
  <c r="P277" i="11" s="1"/>
  <c r="M277" i="11"/>
  <c r="M303" i="11"/>
  <c r="O303" i="11"/>
  <c r="P303" i="11" s="1"/>
  <c r="O228" i="11"/>
  <c r="P228" i="11" s="1"/>
  <c r="M228" i="11"/>
  <c r="O267" i="11"/>
  <c r="P267" i="11" s="1"/>
  <c r="M267" i="11"/>
  <c r="O351" i="11"/>
  <c r="P351" i="11" s="1"/>
  <c r="M351" i="11"/>
  <c r="O373" i="11"/>
  <c r="P373" i="11" s="1"/>
  <c r="M373" i="11"/>
  <c r="O361" i="11"/>
  <c r="P361" i="11" s="1"/>
  <c r="M361" i="11"/>
  <c r="O331" i="11"/>
  <c r="P331" i="11" s="1"/>
  <c r="M331" i="11"/>
  <c r="O302" i="11"/>
  <c r="P302" i="11" s="1"/>
  <c r="M302" i="11"/>
  <c r="O367" i="11"/>
  <c r="P367" i="11" s="1"/>
  <c r="M367" i="11"/>
  <c r="M409" i="11"/>
  <c r="O409" i="11"/>
  <c r="P409" i="11" s="1"/>
  <c r="O425" i="11"/>
  <c r="P425" i="11" s="1"/>
  <c r="M425" i="11"/>
  <c r="O362" i="11"/>
  <c r="P362" i="11" s="1"/>
  <c r="M362" i="11"/>
  <c r="O458" i="11"/>
  <c r="P458" i="11" s="1"/>
  <c r="M458" i="11"/>
  <c r="M436" i="11"/>
  <c r="O436" i="11"/>
  <c r="P436" i="11" s="1"/>
  <c r="M371" i="11"/>
  <c r="O371" i="11"/>
  <c r="P371" i="11" s="1"/>
  <c r="O463" i="11"/>
  <c r="P463" i="11" s="1"/>
  <c r="M463" i="11"/>
  <c r="O465" i="11"/>
  <c r="P465" i="11" s="1"/>
  <c r="M465" i="11"/>
  <c r="M52" i="11"/>
  <c r="O312" i="11"/>
  <c r="P312" i="11" s="1"/>
  <c r="M312" i="11"/>
  <c r="O451" i="11"/>
  <c r="P451" i="11" s="1"/>
  <c r="M451" i="11"/>
  <c r="O455" i="11"/>
  <c r="P455" i="11" s="1"/>
  <c r="M455" i="11"/>
  <c r="O423" i="11"/>
  <c r="P423" i="11" s="1"/>
  <c r="M423" i="11"/>
  <c r="O449" i="11"/>
  <c r="P449" i="11" s="1"/>
  <c r="M449" i="11"/>
  <c r="M358" i="11"/>
  <c r="O358" i="11"/>
  <c r="P358" i="11" s="1"/>
  <c r="M359" i="11"/>
  <c r="O359" i="11"/>
  <c r="P359" i="11" s="1"/>
  <c r="M392" i="11"/>
  <c r="O392" i="11"/>
  <c r="P392" i="11" s="1"/>
  <c r="M326" i="11"/>
  <c r="O326" i="11"/>
  <c r="P326" i="11" s="1"/>
  <c r="O322" i="11"/>
  <c r="P322" i="11" s="1"/>
  <c r="M322" i="11"/>
  <c r="O255" i="11"/>
  <c r="P255" i="11" s="1"/>
  <c r="M255" i="11"/>
  <c r="M285" i="11"/>
  <c r="O285" i="11"/>
  <c r="P285" i="11" s="1"/>
  <c r="O144" i="11"/>
  <c r="P144" i="11" s="1"/>
  <c r="M144" i="11"/>
  <c r="M91" i="11"/>
  <c r="O205" i="11"/>
  <c r="P205" i="11" s="1"/>
  <c r="M205" i="11"/>
  <c r="O112" i="11"/>
  <c r="P112" i="11" s="1"/>
  <c r="M112" i="11"/>
  <c r="O207" i="11"/>
  <c r="P207" i="11" s="1"/>
  <c r="M207" i="11"/>
  <c r="M130" i="11"/>
  <c r="P245" i="11"/>
  <c r="O229" i="11"/>
  <c r="P229" i="11" s="1"/>
  <c r="M229" i="11"/>
  <c r="M258" i="11"/>
  <c r="O258" i="11"/>
  <c r="P258" i="11" s="1"/>
  <c r="M254" i="11"/>
  <c r="O254" i="11"/>
  <c r="P254" i="11" s="1"/>
  <c r="O278" i="11"/>
  <c r="P278" i="11" s="1"/>
  <c r="M278" i="11"/>
  <c r="O200" i="11"/>
  <c r="P200" i="11" s="1"/>
  <c r="M200" i="11"/>
  <c r="M224" i="11"/>
  <c r="O224" i="11"/>
  <c r="P224" i="11" s="1"/>
  <c r="M271" i="11"/>
  <c r="O271" i="11"/>
  <c r="P271" i="11" s="1"/>
  <c r="O233" i="11"/>
  <c r="P233" i="11" s="1"/>
  <c r="M233" i="11"/>
  <c r="O272" i="11"/>
  <c r="P272" i="11" s="1"/>
  <c r="M272" i="11"/>
  <c r="O234" i="11"/>
  <c r="P234" i="11" s="1"/>
  <c r="M234" i="11"/>
  <c r="O265" i="11"/>
  <c r="P265" i="11" s="1"/>
  <c r="M265" i="11"/>
  <c r="O355" i="11"/>
  <c r="P355" i="11" s="1"/>
  <c r="M355" i="11"/>
  <c r="O329" i="11"/>
  <c r="P329" i="11" s="1"/>
  <c r="M329" i="11"/>
  <c r="O381" i="11"/>
  <c r="P381" i="11" s="1"/>
  <c r="M381" i="11"/>
  <c r="O374" i="11"/>
  <c r="P374" i="11" s="1"/>
  <c r="M374" i="11"/>
  <c r="O432" i="11"/>
  <c r="P432" i="11" s="1"/>
  <c r="M432" i="11"/>
  <c r="M403" i="11"/>
  <c r="O403" i="11"/>
  <c r="P403" i="11" s="1"/>
  <c r="M378" i="11"/>
  <c r="O378" i="11"/>
  <c r="P378" i="11" s="1"/>
  <c r="O433" i="11"/>
  <c r="P433" i="11" s="1"/>
  <c r="M433" i="11"/>
  <c r="O400" i="11"/>
  <c r="P400" i="11" s="1"/>
  <c r="M400" i="11"/>
  <c r="O469" i="11"/>
  <c r="P469" i="11" s="1"/>
  <c r="M469" i="11"/>
  <c r="O429" i="11"/>
  <c r="P429" i="11" s="1"/>
  <c r="M429" i="11"/>
  <c r="M24" i="11"/>
  <c r="P148" i="11"/>
  <c r="P52" i="11"/>
  <c r="M35" i="11"/>
  <c r="O393" i="11"/>
  <c r="P393" i="11" s="1"/>
  <c r="M393" i="11"/>
  <c r="O442" i="11"/>
  <c r="P442" i="11" s="1"/>
  <c r="M442" i="11"/>
  <c r="O410" i="11"/>
  <c r="P410" i="11" s="1"/>
  <c r="M410" i="11"/>
  <c r="M441" i="11"/>
  <c r="O441" i="11"/>
  <c r="P441" i="11" s="1"/>
  <c r="O421" i="11"/>
  <c r="P421" i="11" s="1"/>
  <c r="M421" i="11"/>
  <c r="O479" i="11"/>
  <c r="P479" i="11" s="1"/>
  <c r="M479" i="11"/>
  <c r="O450" i="11"/>
  <c r="P450" i="11" s="1"/>
  <c r="M450" i="11"/>
  <c r="M370" i="11"/>
  <c r="O370" i="11"/>
  <c r="P370" i="11" s="1"/>
  <c r="M430" i="11"/>
  <c r="O430" i="11"/>
  <c r="P430" i="11" s="1"/>
  <c r="O385" i="11"/>
  <c r="P385" i="11" s="1"/>
  <c r="M385" i="11"/>
  <c r="O321" i="11"/>
  <c r="P321" i="11" s="1"/>
  <c r="M321" i="11"/>
  <c r="M300" i="11"/>
  <c r="O300" i="11"/>
  <c r="P300" i="11" s="1"/>
  <c r="M315" i="11"/>
  <c r="O315" i="11"/>
  <c r="P315" i="11" s="1"/>
  <c r="O301" i="11"/>
  <c r="P301" i="11" s="1"/>
  <c r="M301" i="11"/>
  <c r="O279" i="11"/>
  <c r="P279" i="11" s="1"/>
  <c r="M279" i="11"/>
  <c r="M167" i="11"/>
  <c r="O167" i="11"/>
  <c r="P167" i="11" s="1"/>
  <c r="O142" i="11"/>
  <c r="P142" i="11" s="1"/>
  <c r="M142" i="11"/>
  <c r="O68" i="11"/>
  <c r="P68" i="11" s="1"/>
  <c r="M68" i="11"/>
  <c r="O39" i="11"/>
  <c r="P39" i="11" s="1"/>
  <c r="M39" i="11"/>
  <c r="O162" i="11"/>
  <c r="P162" i="11" s="1"/>
  <c r="M162" i="11"/>
  <c r="M56" i="11"/>
  <c r="O56" i="11"/>
  <c r="P56" i="11" s="1"/>
  <c r="M209" i="11"/>
  <c r="O209" i="11"/>
  <c r="P209" i="11" s="1"/>
  <c r="O203" i="11"/>
  <c r="P203" i="11" s="1"/>
  <c r="M203" i="11"/>
  <c r="J72" i="11"/>
  <c r="N72" i="11" s="1"/>
  <c r="I81" i="11"/>
  <c r="J81" i="11" s="1"/>
  <c r="N81" i="11" s="1"/>
  <c r="O202" i="11"/>
  <c r="P202" i="11" s="1"/>
  <c r="M202" i="11"/>
  <c r="M124" i="11"/>
  <c r="M153" i="11"/>
  <c r="O153" i="11"/>
  <c r="P153" i="11" s="1"/>
  <c r="O116" i="11"/>
  <c r="P116" i="11" s="1"/>
  <c r="M116" i="11"/>
  <c r="O40" i="11"/>
  <c r="P40" i="11" s="1"/>
  <c r="M40" i="11"/>
  <c r="O190" i="11"/>
  <c r="P190" i="11" s="1"/>
  <c r="M190" i="11"/>
  <c r="O293" i="11"/>
  <c r="P293" i="11" s="1"/>
  <c r="M293" i="11"/>
  <c r="M179" i="11"/>
  <c r="O179" i="11"/>
  <c r="P179" i="11" s="1"/>
  <c r="O231" i="11"/>
  <c r="P231" i="11" s="1"/>
  <c r="M231" i="11"/>
  <c r="M180" i="11"/>
  <c r="O180" i="11"/>
  <c r="P180" i="11" s="1"/>
  <c r="O260" i="11"/>
  <c r="P260" i="11" s="1"/>
  <c r="M260" i="11"/>
  <c r="O250" i="11"/>
  <c r="P250" i="11" s="1"/>
  <c r="M250" i="11"/>
  <c r="O236" i="11"/>
  <c r="P236" i="11" s="1"/>
  <c r="M236" i="11"/>
  <c r="O275" i="11"/>
  <c r="P275" i="11" s="1"/>
  <c r="M275" i="11"/>
  <c r="O328" i="11"/>
  <c r="P328" i="11" s="1"/>
  <c r="M328" i="11"/>
  <c r="O296" i="11"/>
  <c r="P296" i="11" s="1"/>
  <c r="M296" i="11"/>
  <c r="O323" i="11"/>
  <c r="P323" i="11" s="1"/>
  <c r="M323" i="11"/>
  <c r="O345" i="11"/>
  <c r="P345" i="11" s="1"/>
  <c r="M345" i="11"/>
  <c r="O304" i="11"/>
  <c r="P304" i="11" s="1"/>
  <c r="M304" i="11"/>
  <c r="O344" i="11"/>
  <c r="P344" i="11" s="1"/>
  <c r="M344" i="11"/>
  <c r="O375" i="11"/>
  <c r="P375" i="11" s="1"/>
  <c r="M375" i="11"/>
  <c r="O376" i="11"/>
  <c r="P376" i="11" s="1"/>
  <c r="M376" i="11"/>
  <c r="O363" i="11"/>
  <c r="P363" i="11" s="1"/>
  <c r="M363" i="11"/>
  <c r="M428" i="11"/>
  <c r="O428" i="11"/>
  <c r="P428" i="11" s="1"/>
  <c r="M347" i="11"/>
  <c r="O347" i="11"/>
  <c r="P347" i="11" s="1"/>
  <c r="M379" i="11"/>
  <c r="O379" i="11"/>
  <c r="P379" i="11" s="1"/>
  <c r="M447" i="11"/>
  <c r="O447" i="11"/>
  <c r="P447" i="11" s="1"/>
  <c r="O366" i="11"/>
  <c r="P366" i="11" s="1"/>
  <c r="M366" i="11"/>
  <c r="O454" i="11"/>
  <c r="P454" i="11" s="1"/>
  <c r="M454" i="11"/>
  <c r="M70" i="11"/>
  <c r="O85" i="11"/>
  <c r="P85" i="11" s="1"/>
  <c r="M85" i="11"/>
  <c r="P24" i="11"/>
  <c r="M148" i="11"/>
  <c r="P28" i="11"/>
  <c r="P35" i="11"/>
  <c r="O414" i="11"/>
  <c r="P414" i="11" s="1"/>
  <c r="M414" i="11"/>
  <c r="O467" i="11"/>
  <c r="P467" i="11" s="1"/>
  <c r="M467" i="11"/>
  <c r="O445" i="11"/>
  <c r="P445" i="11" s="1"/>
  <c r="M445" i="11"/>
  <c r="M443" i="11"/>
  <c r="O443" i="11"/>
  <c r="P443" i="11" s="1"/>
  <c r="O426" i="11"/>
  <c r="P426" i="11" s="1"/>
  <c r="M426" i="11"/>
  <c r="O314" i="11"/>
  <c r="P314" i="11" s="1"/>
  <c r="M314" i="11"/>
  <c r="O334" i="11"/>
  <c r="P334" i="11" s="1"/>
  <c r="M334" i="11"/>
  <c r="O222" i="11"/>
  <c r="P222" i="11" s="1"/>
  <c r="M222" i="11"/>
  <c r="M333" i="11"/>
  <c r="O333" i="11"/>
  <c r="P333" i="11" s="1"/>
  <c r="O161" i="11"/>
  <c r="P161" i="11" s="1"/>
  <c r="M161" i="11"/>
  <c r="M128" i="11"/>
  <c r="O128" i="11"/>
  <c r="P128" i="11" s="1"/>
  <c r="O198" i="11"/>
  <c r="P198" i="11" s="1"/>
  <c r="M198" i="11"/>
  <c r="M77" i="11"/>
  <c r="O77" i="11"/>
  <c r="P77" i="11" s="1"/>
  <c r="M44" i="11"/>
  <c r="O44" i="11"/>
  <c r="P44" i="11" s="1"/>
  <c r="M194" i="11"/>
  <c r="O194" i="11"/>
  <c r="P194" i="11" s="1"/>
  <c r="O42" i="11"/>
  <c r="P42" i="11" s="1"/>
  <c r="M42" i="11"/>
  <c r="O196" i="11"/>
  <c r="P196" i="11" s="1"/>
  <c r="M196" i="11"/>
  <c r="O152" i="11"/>
  <c r="P152" i="11" s="1"/>
  <c r="M152" i="11"/>
  <c r="O69" i="11"/>
  <c r="P69" i="11" s="1"/>
  <c r="M69" i="11"/>
  <c r="M220" i="11"/>
  <c r="O220" i="11"/>
  <c r="P220" i="11" s="1"/>
  <c r="M235" i="11"/>
  <c r="O235" i="11"/>
  <c r="P235" i="11" s="1"/>
  <c r="O262" i="11"/>
  <c r="P262" i="11" s="1"/>
  <c r="M262" i="11"/>
  <c r="O158" i="11"/>
  <c r="P158" i="11" s="1"/>
  <c r="M158" i="11"/>
  <c r="O210" i="11"/>
  <c r="P210" i="11" s="1"/>
  <c r="M210" i="11"/>
  <c r="O290" i="11"/>
  <c r="P290" i="11" s="1"/>
  <c r="M290" i="11"/>
  <c r="M232" i="11"/>
  <c r="O232" i="11"/>
  <c r="P232" i="11" s="1"/>
  <c r="O287" i="11"/>
  <c r="P287" i="11" s="1"/>
  <c r="M287" i="11"/>
  <c r="O241" i="11"/>
  <c r="P241" i="11" s="1"/>
  <c r="M241" i="11"/>
  <c r="O242" i="11"/>
  <c r="P242" i="11" s="1"/>
  <c r="M242" i="11"/>
  <c r="O273" i="11"/>
  <c r="P273" i="11" s="1"/>
  <c r="M273" i="11"/>
  <c r="O340" i="11"/>
  <c r="P340" i="11" s="1"/>
  <c r="M340" i="11"/>
  <c r="O330" i="11"/>
  <c r="P330" i="11" s="1"/>
  <c r="M330" i="11"/>
  <c r="M390" i="11"/>
  <c r="O390" i="11"/>
  <c r="P390" i="11" s="1"/>
  <c r="M352" i="11"/>
  <c r="O352" i="11"/>
  <c r="P352" i="11" s="1"/>
  <c r="O459" i="11"/>
  <c r="P459" i="11" s="1"/>
  <c r="M459" i="11"/>
  <c r="M427" i="11"/>
  <c r="O427" i="11"/>
  <c r="P427" i="11" s="1"/>
  <c r="O456" i="11"/>
  <c r="P456" i="11" s="1"/>
  <c r="M456" i="11"/>
  <c r="M420" i="11"/>
  <c r="O420" i="11"/>
  <c r="P420" i="11" s="1"/>
  <c r="M475" i="11"/>
  <c r="O475" i="11"/>
  <c r="P475" i="11" s="1"/>
  <c r="P70" i="11"/>
  <c r="M22" i="11"/>
  <c r="O48" i="11"/>
  <c r="P48" i="11" s="1"/>
  <c r="M48" i="11"/>
  <c r="M140" i="11"/>
  <c r="M123" i="11"/>
  <c r="M28" i="11"/>
  <c r="O411" i="11"/>
  <c r="P411" i="11" s="1"/>
  <c r="M411" i="11"/>
  <c r="O424" i="11"/>
  <c r="P424" i="11" s="1"/>
  <c r="M424" i="11"/>
  <c r="O452" i="11"/>
  <c r="P452" i="11" s="1"/>
  <c r="M452" i="11"/>
  <c r="O413" i="11"/>
  <c r="P413" i="11" s="1"/>
  <c r="M413" i="11"/>
  <c r="O397" i="11"/>
  <c r="P397" i="11" s="1"/>
  <c r="M397" i="11"/>
  <c r="O350" i="11"/>
  <c r="P350" i="11" s="1"/>
  <c r="M350" i="11"/>
  <c r="O316" i="11"/>
  <c r="P316" i="11" s="1"/>
  <c r="M316" i="11"/>
  <c r="M256" i="11"/>
  <c r="O256" i="11"/>
  <c r="P256" i="11" s="1"/>
  <c r="O246" i="11"/>
  <c r="P246" i="11" s="1"/>
  <c r="M246" i="11"/>
  <c r="O318" i="11"/>
  <c r="P318" i="11" s="1"/>
  <c r="M318" i="11"/>
  <c r="M159" i="11"/>
  <c r="O159" i="11"/>
  <c r="P159" i="11" s="1"/>
  <c r="O57" i="11"/>
  <c r="P57" i="11" s="1"/>
  <c r="M57" i="11"/>
  <c r="M50" i="11"/>
  <c r="O50" i="11"/>
  <c r="P50" i="11" s="1"/>
  <c r="M121" i="11"/>
  <c r="O121" i="11"/>
  <c r="P121" i="11" s="1"/>
  <c r="O174" i="11"/>
  <c r="P174" i="11" s="1"/>
  <c r="M174" i="11"/>
  <c r="O281" i="11"/>
  <c r="P281" i="11" s="1"/>
  <c r="M281" i="11"/>
  <c r="M151" i="11"/>
  <c r="O151" i="11"/>
  <c r="P151" i="11" s="1"/>
  <c r="O27" i="11"/>
  <c r="P27" i="11" s="1"/>
  <c r="M27" i="11"/>
  <c r="O249" i="11"/>
  <c r="P249" i="11" s="1"/>
  <c r="M249" i="11"/>
  <c r="M193" i="11"/>
  <c r="O193" i="11"/>
  <c r="P193" i="11" s="1"/>
  <c r="O237" i="11"/>
  <c r="P237" i="11" s="1"/>
  <c r="M237" i="11"/>
  <c r="M266" i="11"/>
  <c r="O266" i="11"/>
  <c r="P266" i="11" s="1"/>
  <c r="O173" i="11"/>
  <c r="P173" i="11" s="1"/>
  <c r="M173" i="11"/>
  <c r="O216" i="11"/>
  <c r="P216" i="11" s="1"/>
  <c r="M216" i="11"/>
  <c r="O261" i="11"/>
  <c r="P261" i="11" s="1"/>
  <c r="M261" i="11"/>
  <c r="O282" i="11"/>
  <c r="P282" i="11" s="1"/>
  <c r="M282" i="11"/>
  <c r="O288" i="11"/>
  <c r="P288" i="11" s="1"/>
  <c r="M288" i="11"/>
  <c r="M295" i="11"/>
  <c r="O295" i="11"/>
  <c r="P295" i="11" s="1"/>
  <c r="O244" i="11"/>
  <c r="P244" i="11" s="1"/>
  <c r="M244" i="11"/>
  <c r="O339" i="11"/>
  <c r="P339" i="11" s="1"/>
  <c r="M339" i="11"/>
  <c r="O341" i="11"/>
  <c r="P341" i="11" s="1"/>
  <c r="M341" i="11"/>
  <c r="O319" i="11"/>
  <c r="P319" i="11" s="1"/>
  <c r="M319" i="11"/>
  <c r="O360" i="11"/>
  <c r="P360" i="11" s="1"/>
  <c r="M360" i="11"/>
  <c r="M310" i="11"/>
  <c r="O310" i="11"/>
  <c r="P310" i="11" s="1"/>
  <c r="O356" i="11"/>
  <c r="P356" i="11" s="1"/>
  <c r="M356" i="11"/>
  <c r="O377" i="11"/>
  <c r="P377" i="11" s="1"/>
  <c r="M377" i="11"/>
  <c r="O402" i="11"/>
  <c r="P402" i="11" s="1"/>
  <c r="M402" i="11"/>
  <c r="M353" i="11"/>
  <c r="O353" i="11"/>
  <c r="P353" i="11" s="1"/>
  <c r="O372" i="11"/>
  <c r="P372" i="11" s="1"/>
  <c r="M372" i="11"/>
  <c r="M437" i="11"/>
  <c r="O437" i="11"/>
  <c r="P437" i="11" s="1"/>
  <c r="M462" i="11"/>
  <c r="O462" i="11"/>
  <c r="P462" i="11" s="1"/>
  <c r="O63" i="11"/>
  <c r="P63" i="11" s="1"/>
  <c r="M63" i="11"/>
  <c r="M129" i="11"/>
  <c r="P55" i="11"/>
  <c r="P140" i="11"/>
  <c r="P123" i="11"/>
  <c r="M21" i="11"/>
  <c r="M480" i="11"/>
  <c r="O480" i="11"/>
  <c r="P480" i="11" s="1"/>
  <c r="O389" i="11"/>
  <c r="P389" i="11" s="1"/>
  <c r="M389" i="11"/>
  <c r="O384" i="11"/>
  <c r="P384" i="11" s="1"/>
  <c r="M384" i="11"/>
  <c r="O405" i="11"/>
  <c r="P405" i="11" s="1"/>
  <c r="M405" i="11"/>
  <c r="O444" i="11"/>
  <c r="P444" i="11" s="1"/>
  <c r="M444" i="11"/>
  <c r="O440" i="11"/>
  <c r="P440" i="11" s="1"/>
  <c r="M440" i="11"/>
  <c r="O369" i="11"/>
  <c r="P369" i="11" s="1"/>
  <c r="M369" i="11"/>
  <c r="O298" i="11"/>
  <c r="P298" i="11" s="1"/>
  <c r="M298" i="11"/>
  <c r="O357" i="11"/>
  <c r="P357" i="11" s="1"/>
  <c r="M357" i="11"/>
  <c r="O291" i="11"/>
  <c r="P291" i="11" s="1"/>
  <c r="M291" i="11"/>
  <c r="O252" i="11"/>
  <c r="P252" i="11" s="1"/>
  <c r="M252" i="11"/>
  <c r="M309" i="11"/>
  <c r="O309" i="11"/>
  <c r="P309" i="11" s="1"/>
  <c r="O155" i="11"/>
  <c r="P155" i="11" s="1"/>
  <c r="M155" i="11"/>
  <c r="O107" i="11"/>
  <c r="P107" i="11" s="1"/>
  <c r="M107" i="11"/>
  <c r="M122" i="11"/>
  <c r="O122" i="11"/>
  <c r="P122" i="11" s="1"/>
  <c r="O191" i="11"/>
  <c r="P191" i="11" s="1"/>
  <c r="M191" i="11"/>
  <c r="M31" i="11"/>
  <c r="O182" i="11"/>
  <c r="P182" i="11" s="1"/>
  <c r="M182" i="11"/>
  <c r="O137" i="11"/>
  <c r="P137" i="11" s="1"/>
  <c r="M137" i="11"/>
  <c r="O75" i="11"/>
  <c r="P75" i="11" s="1"/>
  <c r="M75" i="11"/>
  <c r="O185" i="11"/>
  <c r="P185" i="11" s="1"/>
  <c r="M185" i="11"/>
  <c r="O206" i="11"/>
  <c r="P206" i="11" s="1"/>
  <c r="M206" i="11"/>
  <c r="O145" i="11"/>
  <c r="P145" i="11" s="1"/>
  <c r="M145" i="11"/>
  <c r="O93" i="11"/>
  <c r="P93" i="11" s="1"/>
  <c r="M93" i="11"/>
  <c r="O251" i="11"/>
  <c r="P251" i="11" s="1"/>
  <c r="M251" i="11"/>
  <c r="O177" i="11"/>
  <c r="P177" i="11" s="1"/>
  <c r="M177" i="11"/>
  <c r="M208" i="11"/>
  <c r="O208" i="11"/>
  <c r="P208" i="11" s="1"/>
  <c r="O239" i="11"/>
  <c r="P239" i="11" s="1"/>
  <c r="M239" i="11"/>
  <c r="O268" i="11"/>
  <c r="P268" i="11" s="1"/>
  <c r="M268" i="11"/>
  <c r="M240" i="11"/>
  <c r="O240" i="11"/>
  <c r="P240" i="11" s="1"/>
  <c r="O218" i="11"/>
  <c r="P218" i="11" s="1"/>
  <c r="M218" i="11"/>
  <c r="O219" i="11"/>
  <c r="P219" i="11" s="1"/>
  <c r="M219" i="11"/>
  <c r="O247" i="11"/>
  <c r="P247" i="11" s="1"/>
  <c r="M247" i="11"/>
  <c r="M306" i="11"/>
  <c r="O306" i="11"/>
  <c r="P306" i="11" s="1"/>
  <c r="O342" i="11"/>
  <c r="P342" i="11" s="1"/>
  <c r="M342" i="11"/>
  <c r="O307" i="11"/>
  <c r="P307" i="11" s="1"/>
  <c r="M307" i="11"/>
  <c r="M346" i="11"/>
  <c r="O346" i="11"/>
  <c r="P346" i="11" s="1"/>
  <c r="O327" i="11"/>
  <c r="P327" i="11" s="1"/>
  <c r="M327" i="11"/>
  <c r="O399" i="11"/>
  <c r="P399" i="11" s="1"/>
  <c r="M399" i="11"/>
  <c r="O398" i="11"/>
  <c r="P398" i="11" s="1"/>
  <c r="M398" i="11"/>
  <c r="O404" i="11"/>
  <c r="P404" i="11" s="1"/>
  <c r="M404" i="11"/>
  <c r="O407" i="11"/>
  <c r="P407" i="11" s="1"/>
  <c r="M407" i="11"/>
  <c r="O348" i="11"/>
  <c r="P348" i="11" s="1"/>
  <c r="M348" i="11"/>
  <c r="M438" i="11"/>
  <c r="O438" i="11"/>
  <c r="P438" i="11" s="1"/>
  <c r="P129" i="11"/>
  <c r="M55" i="11"/>
  <c r="O74" i="11"/>
  <c r="P74" i="11" s="1"/>
  <c r="M74" i="11"/>
  <c r="P164" i="11"/>
  <c r="M37" i="11"/>
  <c r="M110" i="11"/>
  <c r="L75" i="5"/>
  <c r="K90" i="5"/>
  <c r="L90" i="5" s="1"/>
  <c r="L37" i="5"/>
  <c r="H71" i="3" s="1"/>
  <c r="K71" i="3" s="1"/>
  <c r="K135" i="5"/>
  <c r="L135" i="5" s="1"/>
  <c r="L126" i="5"/>
  <c r="L127" i="5"/>
  <c r="K134" i="5"/>
  <c r="L134" i="5" s="1"/>
  <c r="H44" i="5"/>
  <c r="I71" i="3" s="1"/>
  <c r="K256" i="3"/>
  <c r="L26" i="5"/>
  <c r="H60" i="3" s="1"/>
  <c r="K60" i="3" s="1"/>
  <c r="L48" i="5"/>
  <c r="H82" i="3" s="1"/>
  <c r="K82" i="3" s="1"/>
  <c r="L58" i="5"/>
  <c r="L56" i="5" s="1"/>
  <c r="H96" i="3" s="1"/>
  <c r="K96" i="3" s="1"/>
  <c r="L81" i="5"/>
  <c r="K98" i="5"/>
  <c r="L98" i="5" s="1"/>
  <c r="L118" i="5"/>
  <c r="K246" i="3"/>
  <c r="L76" i="5"/>
  <c r="L80" i="5"/>
  <c r="L119" i="5"/>
  <c r="H68" i="5"/>
  <c r="I96" i="3" s="1"/>
  <c r="L73" i="5"/>
  <c r="K100" i="5"/>
  <c r="L100" i="5" s="1"/>
  <c r="H113" i="5"/>
  <c r="I211" i="3" s="1"/>
  <c r="K211" i="3" s="1"/>
  <c r="L143" i="5"/>
  <c r="H466" i="3" s="1"/>
  <c r="K466" i="3" s="1"/>
  <c r="I90" i="3"/>
  <c r="H72" i="3"/>
  <c r="H81" i="3" s="1"/>
  <c r="H61" i="3"/>
  <c r="I52" i="3"/>
  <c r="I33" i="3"/>
  <c r="K28" i="3"/>
  <c r="K23" i="3"/>
  <c r="K22" i="3"/>
  <c r="I20" i="3"/>
  <c r="K20" i="3" s="1"/>
  <c r="I21" i="3"/>
  <c r="K21" i="3" s="1"/>
  <c r="K424" i="3"/>
  <c r="H475" i="3"/>
  <c r="H473" i="3"/>
  <c r="H472" i="3"/>
  <c r="H463" i="3"/>
  <c r="H464" i="3"/>
  <c r="H465" i="3"/>
  <c r="H469" i="3"/>
  <c r="H462" i="3"/>
  <c r="H456" i="3"/>
  <c r="H457" i="3"/>
  <c r="H458" i="3"/>
  <c r="H459" i="3"/>
  <c r="H454" i="3"/>
  <c r="K349" i="3"/>
  <c r="H349" i="3" s="1"/>
  <c r="K294" i="3"/>
  <c r="H437" i="3"/>
  <c r="H438" i="3"/>
  <c r="H439" i="3"/>
  <c r="H447" i="3"/>
  <c r="H436" i="3"/>
  <c r="H424" i="3"/>
  <c r="H425" i="3"/>
  <c r="H427" i="3"/>
  <c r="H428" i="3"/>
  <c r="H429" i="3"/>
  <c r="H432" i="3"/>
  <c r="H433" i="3"/>
  <c r="H420" i="3"/>
  <c r="H416" i="3"/>
  <c r="H327" i="3"/>
  <c r="H328" i="3"/>
  <c r="H329" i="3"/>
  <c r="H330" i="3"/>
  <c r="H331" i="3"/>
  <c r="H338" i="3"/>
  <c r="H339" i="3"/>
  <c r="H340" i="3"/>
  <c r="H341" i="3"/>
  <c r="H342" i="3"/>
  <c r="H343" i="3"/>
  <c r="H344" i="3"/>
  <c r="H345" i="3"/>
  <c r="H346" i="3"/>
  <c r="H347" i="3"/>
  <c r="H348" i="3"/>
  <c r="H351" i="3"/>
  <c r="H352" i="3"/>
  <c r="H353" i="3"/>
  <c r="H354" i="3"/>
  <c r="H355" i="3"/>
  <c r="H356" i="3"/>
  <c r="H360" i="3"/>
  <c r="H362" i="3"/>
  <c r="H363" i="3"/>
  <c r="H364" i="3"/>
  <c r="H365" i="3"/>
  <c r="H366" i="3"/>
  <c r="H367" i="3"/>
  <c r="H368" i="3"/>
  <c r="H371" i="3"/>
  <c r="H372" i="3"/>
  <c r="H373" i="3"/>
  <c r="H374" i="3"/>
  <c r="H375" i="3"/>
  <c r="H376" i="3"/>
  <c r="H377" i="3"/>
  <c r="H378" i="3"/>
  <c r="H379" i="3"/>
  <c r="H380" i="3"/>
  <c r="H382" i="3"/>
  <c r="H398" i="3"/>
  <c r="H399" i="3"/>
  <c r="H400" i="3"/>
  <c r="H401" i="3"/>
  <c r="H402" i="3"/>
  <c r="H403" i="3"/>
  <c r="H407" i="3"/>
  <c r="H412" i="3"/>
  <c r="H313" i="3"/>
  <c r="H294" i="3"/>
  <c r="H295" i="3"/>
  <c r="H296" i="3"/>
  <c r="H297" i="3"/>
  <c r="H302" i="3"/>
  <c r="H303" i="3"/>
  <c r="H304" i="3"/>
  <c r="H305" i="3"/>
  <c r="H306" i="3"/>
  <c r="H307" i="3"/>
  <c r="H308" i="3"/>
  <c r="H310" i="3"/>
  <c r="H259" i="3"/>
  <c r="H260" i="3"/>
  <c r="H261" i="3"/>
  <c r="H262" i="3"/>
  <c r="H263" i="3"/>
  <c r="H264" i="3"/>
  <c r="H265" i="3"/>
  <c r="H266" i="3"/>
  <c r="H267" i="3"/>
  <c r="H268" i="3"/>
  <c r="H269" i="3"/>
  <c r="H270" i="3"/>
  <c r="H271" i="3"/>
  <c r="H272" i="3"/>
  <c r="H273" i="3"/>
  <c r="H274" i="3"/>
  <c r="H275" i="3"/>
  <c r="H276" i="3"/>
  <c r="H277" i="3"/>
  <c r="H278" i="3"/>
  <c r="H286" i="3"/>
  <c r="H287" i="3"/>
  <c r="H288" i="3"/>
  <c r="H289" i="3"/>
  <c r="H290" i="3"/>
  <c r="H216" i="3"/>
  <c r="H217" i="3"/>
  <c r="H218" i="3"/>
  <c r="H219" i="3"/>
  <c r="H220" i="3"/>
  <c r="H221" i="3"/>
  <c r="H223" i="3"/>
  <c r="H224" i="3"/>
  <c r="H225" i="3"/>
  <c r="H226" i="3"/>
  <c r="H227" i="3"/>
  <c r="H228" i="3"/>
  <c r="H229" i="3"/>
  <c r="H230" i="3"/>
  <c r="H231" i="3"/>
  <c r="H232" i="3"/>
  <c r="H233" i="3"/>
  <c r="H234" i="3"/>
  <c r="H235" i="3"/>
  <c r="H236" i="3"/>
  <c r="H237" i="3"/>
  <c r="H238" i="3"/>
  <c r="H239" i="3"/>
  <c r="H240" i="3"/>
  <c r="H241" i="3"/>
  <c r="H242" i="3"/>
  <c r="H243" i="3"/>
  <c r="H244" i="3"/>
  <c r="H247" i="3"/>
  <c r="H249" i="3"/>
  <c r="H250" i="3"/>
  <c r="H251" i="3"/>
  <c r="H253" i="3"/>
  <c r="H254" i="3"/>
  <c r="K153" i="3"/>
  <c r="H153" i="3" s="1"/>
  <c r="K152" i="3"/>
  <c r="H152" i="3" s="1"/>
  <c r="H200" i="3"/>
  <c r="H201" i="3"/>
  <c r="H208" i="3"/>
  <c r="H210" i="3"/>
  <c r="H192" i="3"/>
  <c r="H193" i="3"/>
  <c r="H195" i="3"/>
  <c r="H190" i="3"/>
  <c r="H188" i="3"/>
  <c r="H183" i="3"/>
  <c r="H182" i="3"/>
  <c r="H180" i="3"/>
  <c r="H179" i="3"/>
  <c r="H174" i="3"/>
  <c r="H175" i="3"/>
  <c r="H176" i="3"/>
  <c r="H177" i="3"/>
  <c r="H173" i="3"/>
  <c r="H170" i="3"/>
  <c r="H167" i="3"/>
  <c r="H158" i="3"/>
  <c r="H155" i="3"/>
  <c r="H151" i="3"/>
  <c r="H146" i="3"/>
  <c r="H147" i="3"/>
  <c r="H136" i="3"/>
  <c r="H137" i="3"/>
  <c r="H135" i="3"/>
  <c r="H130" i="3"/>
  <c r="H128" i="3"/>
  <c r="H122" i="3"/>
  <c r="H121" i="3"/>
  <c r="H117" i="3"/>
  <c r="H116" i="3"/>
  <c r="H113" i="3"/>
  <c r="H114" i="3"/>
  <c r="H112" i="3"/>
  <c r="K106" i="3"/>
  <c r="K105" i="3"/>
  <c r="H105" i="3" s="1"/>
  <c r="K100" i="3"/>
  <c r="H100" i="3"/>
  <c r="K93" i="3"/>
  <c r="H93" i="3"/>
  <c r="K92" i="3"/>
  <c r="H92" i="3" s="1"/>
  <c r="K91" i="3"/>
  <c r="H91" i="3" s="1"/>
  <c r="K89" i="3"/>
  <c r="K88" i="3"/>
  <c r="K85" i="3"/>
  <c r="H85" i="3" s="1"/>
  <c r="K74" i="3"/>
  <c r="H74" i="3" s="1"/>
  <c r="K63" i="3"/>
  <c r="H63" i="3" s="1"/>
  <c r="K55" i="3"/>
  <c r="H55" i="3" s="1"/>
  <c r="K50" i="3"/>
  <c r="H50" i="3" s="1"/>
  <c r="K49" i="3"/>
  <c r="H49" i="3" s="1"/>
  <c r="K48" i="3"/>
  <c r="K41" i="3"/>
  <c r="H41" i="3" s="1"/>
  <c r="K38" i="3"/>
  <c r="H109" i="3"/>
  <c r="H106" i="3"/>
  <c r="H107" i="3"/>
  <c r="H95" i="3"/>
  <c r="H75" i="3"/>
  <c r="H76" i="3"/>
  <c r="H77" i="3"/>
  <c r="H78" i="3"/>
  <c r="H79" i="3"/>
  <c r="H80" i="3"/>
  <c r="H83" i="3"/>
  <c r="H64" i="3"/>
  <c r="H65" i="3"/>
  <c r="H66" i="3"/>
  <c r="H67" i="3"/>
  <c r="H68" i="3"/>
  <c r="H69" i="3"/>
  <c r="H70" i="3"/>
  <c r="H56" i="3"/>
  <c r="H57" i="3"/>
  <c r="H58" i="3"/>
  <c r="H59" i="3"/>
  <c r="H39" i="3"/>
  <c r="H40" i="3"/>
  <c r="H42" i="3"/>
  <c r="H43" i="3"/>
  <c r="H44" i="3"/>
  <c r="H45" i="3"/>
  <c r="H46" i="3"/>
  <c r="H47" i="3"/>
  <c r="H48" i="3"/>
  <c r="H51" i="3"/>
  <c r="H37" i="3"/>
  <c r="H31" i="3"/>
  <c r="K26" i="3"/>
  <c r="H26" i="3"/>
  <c r="H27" i="3"/>
  <c r="H29" i="3"/>
  <c r="H24" i="3"/>
  <c r="H25" i="3"/>
  <c r="L12" i="5"/>
  <c r="B12" i="5"/>
  <c r="L11" i="5"/>
  <c r="I11" i="5"/>
  <c r="G11" i="5"/>
  <c r="L9" i="5"/>
  <c r="L8" i="5"/>
  <c r="I8" i="5"/>
  <c r="G8" i="5"/>
  <c r="B8" i="5"/>
  <c r="I9" i="8"/>
  <c r="I12" i="8"/>
  <c r="G11" i="8"/>
  <c r="G8" i="8"/>
  <c r="B12" i="8"/>
  <c r="B11" i="8"/>
  <c r="B8" i="8"/>
  <c r="L61" i="11" l="1"/>
  <c r="O61" i="11" s="1"/>
  <c r="P61" i="11" s="1"/>
  <c r="K72" i="11"/>
  <c r="S81" i="11"/>
  <c r="S481" i="11" s="1"/>
  <c r="O483" i="11" s="1"/>
  <c r="S292" i="11"/>
  <c r="H85" i="5"/>
  <c r="I97" i="3" s="1"/>
  <c r="L72" i="5"/>
  <c r="H97" i="3" s="1"/>
  <c r="K97" i="3" s="1"/>
  <c r="L133" i="5"/>
  <c r="H301" i="3" s="1"/>
  <c r="H139" i="5"/>
  <c r="I301" i="3" s="1"/>
  <c r="K52" i="3"/>
  <c r="K90" i="3"/>
  <c r="H129" i="5"/>
  <c r="I255" i="3" s="1"/>
  <c r="L125" i="5"/>
  <c r="H255" i="3" s="1"/>
  <c r="K255" i="3" s="1"/>
  <c r="H102" i="5"/>
  <c r="I98" i="3" s="1"/>
  <c r="L89" i="5"/>
  <c r="H98" i="3" s="1"/>
  <c r="I61" i="3"/>
  <c r="L117" i="5"/>
  <c r="H245" i="3" s="1"/>
  <c r="K245" i="3" s="1"/>
  <c r="H121" i="5"/>
  <c r="I245" i="3" s="1"/>
  <c r="H89" i="3"/>
  <c r="H88" i="3"/>
  <c r="H38" i="3"/>
  <c r="B12" i="6"/>
  <c r="B12" i="2"/>
  <c r="F12" i="7"/>
  <c r="B12" i="7"/>
  <c r="F11" i="7"/>
  <c r="B11" i="7"/>
  <c r="F9" i="7"/>
  <c r="F8" i="7"/>
  <c r="B8" i="7"/>
  <c r="F12" i="6"/>
  <c r="F11" i="6"/>
  <c r="B11" i="6"/>
  <c r="F9" i="6"/>
  <c r="F8" i="6"/>
  <c r="B8" i="6"/>
  <c r="B72" i="7"/>
  <c r="B71" i="7"/>
  <c r="F50" i="7"/>
  <c r="E50" i="7"/>
  <c r="F42" i="7"/>
  <c r="E42" i="7"/>
  <c r="F29" i="7"/>
  <c r="E29" i="7"/>
  <c r="B53" i="6"/>
  <c r="B52" i="6"/>
  <c r="F30" i="6"/>
  <c r="F36" i="6" s="1"/>
  <c r="C20" i="1" s="1"/>
  <c r="E30" i="6"/>
  <c r="E36" i="6" s="1"/>
  <c r="Q12" i="3"/>
  <c r="B12" i="3"/>
  <c r="Q11" i="3"/>
  <c r="O11" i="3"/>
  <c r="M11" i="3"/>
  <c r="Q9" i="3"/>
  <c r="Q8" i="3"/>
  <c r="O8" i="3"/>
  <c r="M8" i="3"/>
  <c r="B8" i="3"/>
  <c r="B51" i="2"/>
  <c r="B50" i="2"/>
  <c r="F12" i="2"/>
  <c r="F11" i="2"/>
  <c r="B11" i="2"/>
  <c r="B11" i="5" s="1"/>
  <c r="F9" i="2"/>
  <c r="F8" i="2"/>
  <c r="B8" i="2"/>
  <c r="B33" i="1"/>
  <c r="B32" i="1"/>
  <c r="B9" i="1"/>
  <c r="B7" i="10" s="1"/>
  <c r="M61" i="11" l="1"/>
  <c r="L72" i="11"/>
  <c r="K81" i="11"/>
  <c r="L81" i="11" s="1"/>
  <c r="K301" i="3"/>
  <c r="I72" i="3"/>
  <c r="K61" i="3"/>
  <c r="K98" i="3"/>
  <c r="B9" i="8"/>
  <c r="B9" i="5"/>
  <c r="C19" i="1"/>
  <c r="D9" i="2" s="1"/>
  <c r="D12" i="2"/>
  <c r="D12" i="7"/>
  <c r="E53" i="7"/>
  <c r="E55" i="7" s="1"/>
  <c r="E56" i="7" s="1"/>
  <c r="H12" i="8" s="1"/>
  <c r="B9" i="7"/>
  <c r="B9" i="6"/>
  <c r="F53" i="7"/>
  <c r="D12" i="6"/>
  <c r="D9" i="6"/>
  <c r="B9" i="2"/>
  <c r="B11" i="3"/>
  <c r="E54" i="7"/>
  <c r="F54" i="7"/>
  <c r="B9" i="3"/>
  <c r="O485" i="12" l="1"/>
  <c r="O81" i="11"/>
  <c r="P81" i="11" s="1"/>
  <c r="M81" i="11"/>
  <c r="O72" i="11"/>
  <c r="P72" i="11" s="1"/>
  <c r="M72" i="11"/>
  <c r="K72" i="3"/>
  <c r="I81" i="3"/>
  <c r="D9" i="7"/>
  <c r="G12" i="5"/>
  <c r="G12" i="8"/>
  <c r="M12" i="3"/>
  <c r="G9" i="8"/>
  <c r="G9" i="5"/>
  <c r="M9" i="3"/>
  <c r="F55" i="7"/>
  <c r="F56" i="7" s="1"/>
  <c r="H9" i="8" s="1"/>
  <c r="E12" i="2"/>
  <c r="I12" i="5" s="1"/>
  <c r="E12" i="7"/>
  <c r="E12" i="6"/>
  <c r="C37" i="2" a="1"/>
  <c r="C37" i="2" s="1"/>
  <c r="B52" i="10" s="1"/>
  <c r="C29" i="2" a="1"/>
  <c r="C29" i="2" s="1"/>
  <c r="B36" i="10" s="1"/>
  <c r="C21" i="2" a="1"/>
  <c r="C21" i="2" s="1"/>
  <c r="B20" i="10" s="1"/>
  <c r="C32" i="2" a="1"/>
  <c r="C32" i="2" s="1"/>
  <c r="B42" i="10" s="1"/>
  <c r="C24" i="2" a="1"/>
  <c r="C24" i="2" s="1"/>
  <c r="B26" i="10" s="1"/>
  <c r="C35" i="2" a="1"/>
  <c r="C35" i="2" s="1"/>
  <c r="B48" i="10" s="1"/>
  <c r="C27" i="2" a="1"/>
  <c r="C27" i="2" s="1"/>
  <c r="B32" i="10" s="1"/>
  <c r="C19" i="2" a="1"/>
  <c r="C19" i="2" s="1"/>
  <c r="B16" i="10" s="1"/>
  <c r="C20" i="2" a="1"/>
  <c r="C20" i="2" s="1"/>
  <c r="B18" i="10" s="1"/>
  <c r="C30" i="2" a="1"/>
  <c r="C30" i="2" s="1"/>
  <c r="B38" i="10" s="1"/>
  <c r="C22" i="2" a="1"/>
  <c r="C22" i="2" s="1"/>
  <c r="B22" i="10" s="1"/>
  <c r="C33" i="2" a="1"/>
  <c r="C33" i="2" s="1"/>
  <c r="B44" i="10" s="1"/>
  <c r="C25" i="2" a="1"/>
  <c r="C25" i="2" s="1"/>
  <c r="B28" i="10" s="1"/>
  <c r="C17" i="2" a="1"/>
  <c r="C17" i="2" s="1"/>
  <c r="B12" i="10" s="1"/>
  <c r="C36" i="2" a="1"/>
  <c r="C36" i="2" s="1"/>
  <c r="B50" i="10" s="1"/>
  <c r="C28" i="2" a="1"/>
  <c r="C28" i="2" s="1"/>
  <c r="B34" i="10" s="1"/>
  <c r="C31" i="2" a="1"/>
  <c r="C31" i="2" s="1"/>
  <c r="B40" i="10" s="1"/>
  <c r="C23" i="2" a="1"/>
  <c r="C23" i="2" s="1"/>
  <c r="B24" i="10" s="1"/>
  <c r="C34" i="2" a="1"/>
  <c r="C34" i="2" s="1"/>
  <c r="B46" i="10" s="1"/>
  <c r="C26" i="2" a="1"/>
  <c r="C26" i="2" s="1"/>
  <c r="B30" i="10" s="1"/>
  <c r="C18" i="2" a="1"/>
  <c r="C18" i="2" s="1"/>
  <c r="B14" i="10" s="1"/>
  <c r="O484" i="12" l="1"/>
  <c r="R484" i="12" s="1"/>
  <c r="R483" i="12"/>
  <c r="O485" i="11"/>
  <c r="J31" i="3"/>
  <c r="N31" i="3" s="1"/>
  <c r="J42" i="3"/>
  <c r="N42" i="3" s="1"/>
  <c r="J50" i="3"/>
  <c r="N50" i="3" s="1"/>
  <c r="J70" i="3"/>
  <c r="N70" i="3" s="1"/>
  <c r="J79" i="3"/>
  <c r="N79" i="3" s="1"/>
  <c r="J91" i="3"/>
  <c r="N91" i="3" s="1"/>
  <c r="J101" i="3"/>
  <c r="N101" i="3" s="1"/>
  <c r="J113" i="3"/>
  <c r="N113" i="3" s="1"/>
  <c r="J125" i="3"/>
  <c r="N125" i="3" s="1"/>
  <c r="J136" i="3"/>
  <c r="N136" i="3" s="1"/>
  <c r="J147" i="3"/>
  <c r="N147" i="3" s="1"/>
  <c r="J161" i="3"/>
  <c r="N161" i="3" s="1"/>
  <c r="J176" i="3"/>
  <c r="N176" i="3" s="1"/>
  <c r="J190" i="3"/>
  <c r="N190" i="3" s="1"/>
  <c r="J199" i="3"/>
  <c r="N199" i="3" s="1"/>
  <c r="J207" i="3"/>
  <c r="N207" i="3" s="1"/>
  <c r="J217" i="3"/>
  <c r="N217" i="3" s="1"/>
  <c r="J225" i="3"/>
  <c r="N225" i="3" s="1"/>
  <c r="J233" i="3"/>
  <c r="J241" i="3"/>
  <c r="N241" i="3" s="1"/>
  <c r="J251" i="3"/>
  <c r="N251" i="3" s="1"/>
  <c r="J261" i="3"/>
  <c r="N261" i="3" s="1"/>
  <c r="J269" i="3"/>
  <c r="N269" i="3" s="1"/>
  <c r="J277" i="3"/>
  <c r="N277" i="3" s="1"/>
  <c r="J285" i="3"/>
  <c r="N285" i="3" s="1"/>
  <c r="J294" i="3"/>
  <c r="N294" i="3" s="1"/>
  <c r="J302" i="3"/>
  <c r="N302" i="3" s="1"/>
  <c r="J310" i="3"/>
  <c r="N310" i="3" s="1"/>
  <c r="J319" i="3"/>
  <c r="N319" i="3" s="1"/>
  <c r="J329" i="3"/>
  <c r="N329" i="3" s="1"/>
  <c r="J337" i="3"/>
  <c r="N337" i="3" s="1"/>
  <c r="J345" i="3"/>
  <c r="N345" i="3" s="1"/>
  <c r="J353" i="3"/>
  <c r="N353" i="3" s="1"/>
  <c r="J361" i="3"/>
  <c r="N361" i="3" s="1"/>
  <c r="J369" i="3"/>
  <c r="N369" i="3" s="1"/>
  <c r="J377" i="3"/>
  <c r="N377" i="3" s="1"/>
  <c r="J385" i="3"/>
  <c r="N385" i="3" s="1"/>
  <c r="J393" i="3"/>
  <c r="N393" i="3" s="1"/>
  <c r="J401" i="3"/>
  <c r="N401" i="3" s="1"/>
  <c r="J409" i="3"/>
  <c r="N409" i="3" s="1"/>
  <c r="J418" i="3"/>
  <c r="N418" i="3" s="1"/>
  <c r="J427" i="3"/>
  <c r="N427" i="3" s="1"/>
  <c r="J437" i="3"/>
  <c r="N437" i="3" s="1"/>
  <c r="J445" i="3"/>
  <c r="N445" i="3" s="1"/>
  <c r="J456" i="3"/>
  <c r="N456" i="3" s="1"/>
  <c r="J465" i="3"/>
  <c r="N465" i="3" s="1"/>
  <c r="J477" i="3"/>
  <c r="N477" i="3" s="1"/>
  <c r="L475" i="3"/>
  <c r="L465" i="3"/>
  <c r="L462" i="3"/>
  <c r="L459" i="3"/>
  <c r="L442" i="3"/>
  <c r="L427" i="3"/>
  <c r="L334" i="3"/>
  <c r="L342" i="3"/>
  <c r="L352" i="3"/>
  <c r="L356" i="3"/>
  <c r="L362" i="3"/>
  <c r="L366" i="3"/>
  <c r="L373" i="3"/>
  <c r="L389" i="3"/>
  <c r="L396" i="3"/>
  <c r="L402" i="3"/>
  <c r="L411" i="3"/>
  <c r="L313" i="3"/>
  <c r="J33" i="3"/>
  <c r="N33" i="3" s="1"/>
  <c r="J43" i="3"/>
  <c r="N43" i="3" s="1"/>
  <c r="J51" i="3"/>
  <c r="N51" i="3" s="1"/>
  <c r="J63" i="3"/>
  <c r="N63" i="3" s="1"/>
  <c r="J71" i="3"/>
  <c r="N71" i="3" s="1"/>
  <c r="J80" i="3"/>
  <c r="N80" i="3" s="1"/>
  <c r="J92" i="3"/>
  <c r="N92" i="3" s="1"/>
  <c r="J102" i="3"/>
  <c r="N102" i="3" s="1"/>
  <c r="J114" i="3"/>
  <c r="N114" i="3" s="1"/>
  <c r="J128" i="3"/>
  <c r="N128" i="3" s="1"/>
  <c r="J137" i="3"/>
  <c r="N137" i="3" s="1"/>
  <c r="J148" i="3"/>
  <c r="N148" i="3" s="1"/>
  <c r="J162" i="3"/>
  <c r="N162" i="3" s="1"/>
  <c r="J177" i="3"/>
  <c r="N177" i="3" s="1"/>
  <c r="J191" i="3"/>
  <c r="N191" i="3" s="1"/>
  <c r="J200" i="3"/>
  <c r="N200" i="3" s="1"/>
  <c r="J208" i="3"/>
  <c r="N208" i="3" s="1"/>
  <c r="J218" i="3"/>
  <c r="N218" i="3" s="1"/>
  <c r="J226" i="3"/>
  <c r="N226" i="3" s="1"/>
  <c r="J234" i="3"/>
  <c r="N234" i="3" s="1"/>
  <c r="J242" i="3"/>
  <c r="N242" i="3" s="1"/>
  <c r="J252" i="3"/>
  <c r="N252" i="3" s="1"/>
  <c r="J262" i="3"/>
  <c r="N262" i="3" s="1"/>
  <c r="J270" i="3"/>
  <c r="N270" i="3" s="1"/>
  <c r="J278" i="3"/>
  <c r="N278" i="3" s="1"/>
  <c r="J286" i="3"/>
  <c r="N286" i="3" s="1"/>
  <c r="J295" i="3"/>
  <c r="N295" i="3" s="1"/>
  <c r="J303" i="3"/>
  <c r="N303" i="3" s="1"/>
  <c r="J312" i="3"/>
  <c r="N312" i="3" s="1"/>
  <c r="J320" i="3"/>
  <c r="N320" i="3" s="1"/>
  <c r="J330" i="3"/>
  <c r="N330" i="3" s="1"/>
  <c r="J338" i="3"/>
  <c r="N338" i="3" s="1"/>
  <c r="J346" i="3"/>
  <c r="N346" i="3" s="1"/>
  <c r="J354" i="3"/>
  <c r="N354" i="3" s="1"/>
  <c r="J362" i="3"/>
  <c r="N362" i="3" s="1"/>
  <c r="J370" i="3"/>
  <c r="N370" i="3" s="1"/>
  <c r="J378" i="3"/>
  <c r="N378" i="3" s="1"/>
  <c r="J386" i="3"/>
  <c r="N386" i="3" s="1"/>
  <c r="J394" i="3"/>
  <c r="N394" i="3" s="1"/>
  <c r="J402" i="3"/>
  <c r="N402" i="3" s="1"/>
  <c r="J410" i="3"/>
  <c r="N410" i="3" s="1"/>
  <c r="J419" i="3"/>
  <c r="N419" i="3" s="1"/>
  <c r="J428" i="3"/>
  <c r="N428" i="3" s="1"/>
  <c r="J438" i="3"/>
  <c r="N438" i="3" s="1"/>
  <c r="J446" i="3"/>
  <c r="N446" i="3" s="1"/>
  <c r="J457" i="3"/>
  <c r="N457" i="3" s="1"/>
  <c r="J466" i="3"/>
  <c r="N466" i="3" s="1"/>
  <c r="J479" i="3"/>
  <c r="N479" i="3" s="1"/>
  <c r="L473" i="3"/>
  <c r="L466" i="3"/>
  <c r="L455" i="3"/>
  <c r="L460" i="3"/>
  <c r="L438" i="3"/>
  <c r="L443" i="3"/>
  <c r="L436" i="3"/>
  <c r="L423" i="3"/>
  <c r="L420" i="3"/>
  <c r="L338" i="3"/>
  <c r="L347" i="3"/>
  <c r="L353" i="3"/>
  <c r="L357" i="3"/>
  <c r="L367" i="3"/>
  <c r="L374" i="3"/>
  <c r="L379" i="3"/>
  <c r="J35" i="3"/>
  <c r="N35" i="3" s="1"/>
  <c r="J44" i="3"/>
  <c r="J55" i="3"/>
  <c r="N55" i="3" s="1"/>
  <c r="J64" i="3"/>
  <c r="N64" i="3" s="1"/>
  <c r="J93" i="3"/>
  <c r="N93" i="3" s="1"/>
  <c r="J105" i="3"/>
  <c r="N105" i="3" s="1"/>
  <c r="J116" i="3"/>
  <c r="N116" i="3" s="1"/>
  <c r="J129" i="3"/>
  <c r="N129" i="3" s="1"/>
  <c r="J140" i="3"/>
  <c r="N140" i="3" s="1"/>
  <c r="J151" i="3"/>
  <c r="N151" i="3" s="1"/>
  <c r="J164" i="3"/>
  <c r="N164" i="3" s="1"/>
  <c r="J179" i="3"/>
  <c r="N179" i="3" s="1"/>
  <c r="J192" i="3"/>
  <c r="N192" i="3" s="1"/>
  <c r="J201" i="3"/>
  <c r="N201" i="3" s="1"/>
  <c r="J209" i="3"/>
  <c r="N209" i="3" s="1"/>
  <c r="J219" i="3"/>
  <c r="N219" i="3" s="1"/>
  <c r="J227" i="3"/>
  <c r="N227" i="3" s="1"/>
  <c r="J235" i="3"/>
  <c r="N235" i="3" s="1"/>
  <c r="J243" i="3"/>
  <c r="N243" i="3" s="1"/>
  <c r="J253" i="3"/>
  <c r="N253" i="3" s="1"/>
  <c r="J263" i="3"/>
  <c r="N263" i="3" s="1"/>
  <c r="J271" i="3"/>
  <c r="N271" i="3" s="1"/>
  <c r="J279" i="3"/>
  <c r="N279" i="3" s="1"/>
  <c r="J287" i="3"/>
  <c r="N287" i="3" s="1"/>
  <c r="J296" i="3"/>
  <c r="N296" i="3" s="1"/>
  <c r="J304" i="3"/>
  <c r="N304" i="3" s="1"/>
  <c r="J313" i="3"/>
  <c r="N313" i="3" s="1"/>
  <c r="J321" i="3"/>
  <c r="N321" i="3" s="1"/>
  <c r="J331" i="3"/>
  <c r="N331" i="3" s="1"/>
  <c r="J339" i="3"/>
  <c r="N339" i="3" s="1"/>
  <c r="J347" i="3"/>
  <c r="N347" i="3" s="1"/>
  <c r="J355" i="3"/>
  <c r="N355" i="3" s="1"/>
  <c r="J363" i="3"/>
  <c r="N363" i="3" s="1"/>
  <c r="J371" i="3"/>
  <c r="N371" i="3" s="1"/>
  <c r="J379" i="3"/>
  <c r="N379" i="3" s="1"/>
  <c r="J387" i="3"/>
  <c r="N387" i="3" s="1"/>
  <c r="J395" i="3"/>
  <c r="N395" i="3" s="1"/>
  <c r="J403" i="3"/>
  <c r="N403" i="3" s="1"/>
  <c r="J411" i="3"/>
  <c r="N411" i="3" s="1"/>
  <c r="J420" i="3"/>
  <c r="N420" i="3" s="1"/>
  <c r="J429" i="3"/>
  <c r="N429" i="3" s="1"/>
  <c r="J439" i="3"/>
  <c r="N439" i="3" s="1"/>
  <c r="J447" i="3"/>
  <c r="N447" i="3" s="1"/>
  <c r="J458" i="3"/>
  <c r="N458" i="3" s="1"/>
  <c r="J467" i="3"/>
  <c r="N467" i="3" s="1"/>
  <c r="J480" i="3"/>
  <c r="N480" i="3" s="1"/>
  <c r="L456" i="3"/>
  <c r="L454" i="3"/>
  <c r="L444" i="3"/>
  <c r="L424" i="3"/>
  <c r="L428" i="3"/>
  <c r="L417" i="3"/>
  <c r="L421" i="3"/>
  <c r="L330" i="3"/>
  <c r="L335" i="3"/>
  <c r="L358" i="3"/>
  <c r="L368" i="3"/>
  <c r="L385" i="3"/>
  <c r="L391" i="3"/>
  <c r="L397" i="3"/>
  <c r="L403" i="3"/>
  <c r="L412" i="3"/>
  <c r="L314" i="3"/>
  <c r="L319" i="3"/>
  <c r="L323" i="3"/>
  <c r="L297" i="3"/>
  <c r="L302" i="3"/>
  <c r="J37" i="3"/>
  <c r="N37" i="3" s="1"/>
  <c r="J45" i="3"/>
  <c r="N45" i="3" s="1"/>
  <c r="J56" i="3"/>
  <c r="N56" i="3" s="1"/>
  <c r="J65" i="3"/>
  <c r="N65" i="3" s="1"/>
  <c r="J74" i="3"/>
  <c r="N74" i="3" s="1"/>
  <c r="J82" i="3"/>
  <c r="N82" i="3" s="1"/>
  <c r="J95" i="3"/>
  <c r="N95" i="3" s="1"/>
  <c r="J106" i="3"/>
  <c r="N106" i="3" s="1"/>
  <c r="J117" i="3"/>
  <c r="N117" i="3" s="1"/>
  <c r="J130" i="3"/>
  <c r="N130" i="3" s="1"/>
  <c r="J142" i="3"/>
  <c r="N142" i="3" s="1"/>
  <c r="J152" i="3"/>
  <c r="N152" i="3" s="1"/>
  <c r="J167" i="3"/>
  <c r="N167" i="3" s="1"/>
  <c r="J180" i="3"/>
  <c r="N180" i="3" s="1"/>
  <c r="J193" i="3"/>
  <c r="N193" i="3" s="1"/>
  <c r="J202" i="3"/>
  <c r="N202" i="3" s="1"/>
  <c r="J210" i="3"/>
  <c r="J220" i="3"/>
  <c r="N220" i="3" s="1"/>
  <c r="J228" i="3"/>
  <c r="N228" i="3" s="1"/>
  <c r="J236" i="3"/>
  <c r="N236" i="3" s="1"/>
  <c r="J244" i="3"/>
  <c r="N244" i="3" s="1"/>
  <c r="J254" i="3"/>
  <c r="N254" i="3" s="1"/>
  <c r="J264" i="3"/>
  <c r="N264" i="3" s="1"/>
  <c r="J272" i="3"/>
  <c r="N272" i="3" s="1"/>
  <c r="J280" i="3"/>
  <c r="N280" i="3" s="1"/>
  <c r="J288" i="3"/>
  <c r="N288" i="3" s="1"/>
  <c r="J297" i="3"/>
  <c r="N297" i="3" s="1"/>
  <c r="J305" i="3"/>
  <c r="N305" i="3" s="1"/>
  <c r="J314" i="3"/>
  <c r="N314" i="3" s="1"/>
  <c r="J322" i="3"/>
  <c r="N322" i="3" s="1"/>
  <c r="J332" i="3"/>
  <c r="N332" i="3" s="1"/>
  <c r="J340" i="3"/>
  <c r="N340" i="3" s="1"/>
  <c r="J348" i="3"/>
  <c r="N348" i="3" s="1"/>
  <c r="J356" i="3"/>
  <c r="N356" i="3" s="1"/>
  <c r="J364" i="3"/>
  <c r="N364" i="3" s="1"/>
  <c r="J372" i="3"/>
  <c r="N372" i="3" s="1"/>
  <c r="J380" i="3"/>
  <c r="N380" i="3" s="1"/>
  <c r="J388" i="3"/>
  <c r="N388" i="3" s="1"/>
  <c r="J396" i="3"/>
  <c r="N396" i="3" s="1"/>
  <c r="J404" i="3"/>
  <c r="N404" i="3" s="1"/>
  <c r="J412" i="3"/>
  <c r="N412" i="3" s="1"/>
  <c r="J421" i="3"/>
  <c r="N421" i="3" s="1"/>
  <c r="J430" i="3"/>
  <c r="N430" i="3" s="1"/>
  <c r="J440" i="3"/>
  <c r="N440" i="3" s="1"/>
  <c r="J459" i="3"/>
  <c r="N459" i="3" s="1"/>
  <c r="J468" i="3"/>
  <c r="N468" i="3" s="1"/>
  <c r="L480" i="3"/>
  <c r="L472" i="3"/>
  <c r="L467" i="3"/>
  <c r="L439" i="3"/>
  <c r="L445" i="3"/>
  <c r="L425" i="3"/>
  <c r="L429" i="3"/>
  <c r="L416" i="3"/>
  <c r="L339" i="3"/>
  <c r="L343" i="3"/>
  <c r="L348" i="3"/>
  <c r="J38" i="3"/>
  <c r="N38" i="3" s="1"/>
  <c r="J46" i="3"/>
  <c r="N46" i="3" s="1"/>
  <c r="J57" i="3"/>
  <c r="N57" i="3" s="1"/>
  <c r="J66" i="3"/>
  <c r="N66" i="3" s="1"/>
  <c r="J75" i="3"/>
  <c r="N75" i="3" s="1"/>
  <c r="J83" i="3"/>
  <c r="N83" i="3" s="1"/>
  <c r="J96" i="3"/>
  <c r="N96" i="3" s="1"/>
  <c r="J107" i="3"/>
  <c r="N107" i="3" s="1"/>
  <c r="J121" i="3"/>
  <c r="N121" i="3" s="1"/>
  <c r="J131" i="3"/>
  <c r="N131" i="3" s="1"/>
  <c r="J143" i="3"/>
  <c r="N143" i="3" s="1"/>
  <c r="J153" i="3"/>
  <c r="N153" i="3" s="1"/>
  <c r="J170" i="3"/>
  <c r="N170" i="3" s="1"/>
  <c r="J182" i="3"/>
  <c r="N182" i="3" s="1"/>
  <c r="J194" i="3"/>
  <c r="N194" i="3" s="1"/>
  <c r="J203" i="3"/>
  <c r="N203" i="3" s="1"/>
  <c r="J211" i="3"/>
  <c r="N211" i="3" s="1"/>
  <c r="J221" i="3"/>
  <c r="N221" i="3" s="1"/>
  <c r="J229" i="3"/>
  <c r="N229" i="3" s="1"/>
  <c r="J237" i="3"/>
  <c r="N237" i="3" s="1"/>
  <c r="J247" i="3"/>
  <c r="N247" i="3" s="1"/>
  <c r="J265" i="3"/>
  <c r="N265" i="3" s="1"/>
  <c r="J273" i="3"/>
  <c r="N273" i="3" s="1"/>
  <c r="J281" i="3"/>
  <c r="N281" i="3" s="1"/>
  <c r="J289" i="3"/>
  <c r="N289" i="3" s="1"/>
  <c r="J298" i="3"/>
  <c r="N298" i="3" s="1"/>
  <c r="J306" i="3"/>
  <c r="N306" i="3" s="1"/>
  <c r="J315" i="3"/>
  <c r="N315" i="3" s="1"/>
  <c r="J323" i="3"/>
  <c r="N323" i="3" s="1"/>
  <c r="J333" i="3"/>
  <c r="N333" i="3" s="1"/>
  <c r="J341" i="3"/>
  <c r="N341" i="3" s="1"/>
  <c r="J349" i="3"/>
  <c r="N349" i="3" s="1"/>
  <c r="J357" i="3"/>
  <c r="N357" i="3" s="1"/>
  <c r="J365" i="3"/>
  <c r="N365" i="3" s="1"/>
  <c r="J373" i="3"/>
  <c r="N373" i="3" s="1"/>
  <c r="J381" i="3"/>
  <c r="N381" i="3" s="1"/>
  <c r="J389" i="3"/>
  <c r="N389" i="3" s="1"/>
  <c r="J397" i="3"/>
  <c r="N397" i="3" s="1"/>
  <c r="J405" i="3"/>
  <c r="N405" i="3" s="1"/>
  <c r="J413" i="3"/>
  <c r="N413" i="3" s="1"/>
  <c r="J423" i="3"/>
  <c r="N423" i="3" s="1"/>
  <c r="J431" i="3"/>
  <c r="N431" i="3" s="1"/>
  <c r="J441" i="3"/>
  <c r="N441" i="3" s="1"/>
  <c r="J460" i="3"/>
  <c r="N460" i="3" s="1"/>
  <c r="J469" i="3"/>
  <c r="N469" i="3" s="1"/>
  <c r="L463" i="3"/>
  <c r="L457" i="3"/>
  <c r="L446" i="3"/>
  <c r="L430" i="3"/>
  <c r="L418" i="3"/>
  <c r="L327" i="3"/>
  <c r="L336" i="3"/>
  <c r="L344" i="3"/>
  <c r="L349" i="3"/>
  <c r="L359" i="3"/>
  <c r="L370" i="3"/>
  <c r="L376" i="3"/>
  <c r="L381" i="3"/>
  <c r="L386" i="3"/>
  <c r="L399" i="3"/>
  <c r="L404" i="3"/>
  <c r="L414" i="3"/>
  <c r="L315" i="3"/>
  <c r="J39" i="3"/>
  <c r="N39" i="3" s="1"/>
  <c r="J47" i="3"/>
  <c r="N47" i="3" s="1"/>
  <c r="J58" i="3"/>
  <c r="N58" i="3" s="1"/>
  <c r="J67" i="3"/>
  <c r="N67" i="3" s="1"/>
  <c r="J76" i="3"/>
  <c r="N76" i="3" s="1"/>
  <c r="J85" i="3"/>
  <c r="N85" i="3" s="1"/>
  <c r="J109" i="3"/>
  <c r="N109" i="3" s="1"/>
  <c r="J122" i="3"/>
  <c r="N122" i="3" s="1"/>
  <c r="J132" i="3"/>
  <c r="N132" i="3" s="1"/>
  <c r="J144" i="3"/>
  <c r="N144" i="3" s="1"/>
  <c r="J155" i="3"/>
  <c r="N155" i="3" s="1"/>
  <c r="J173" i="3"/>
  <c r="N173" i="3" s="1"/>
  <c r="J183" i="3"/>
  <c r="N183" i="3" s="1"/>
  <c r="J195" i="3"/>
  <c r="N195" i="3" s="1"/>
  <c r="J204" i="3"/>
  <c r="N204" i="3" s="1"/>
  <c r="J212" i="3"/>
  <c r="N212" i="3" s="1"/>
  <c r="J222" i="3"/>
  <c r="N222" i="3" s="1"/>
  <c r="J230" i="3"/>
  <c r="N230" i="3" s="1"/>
  <c r="J238" i="3"/>
  <c r="N238" i="3" s="1"/>
  <c r="J248" i="3"/>
  <c r="N248" i="3" s="1"/>
  <c r="J258" i="3"/>
  <c r="N258" i="3" s="1"/>
  <c r="J266" i="3"/>
  <c r="N266" i="3" s="1"/>
  <c r="J274" i="3"/>
  <c r="N274" i="3" s="1"/>
  <c r="J282" i="3"/>
  <c r="N282" i="3" s="1"/>
  <c r="J290" i="3"/>
  <c r="N290" i="3" s="1"/>
  <c r="J299" i="3"/>
  <c r="N299" i="3" s="1"/>
  <c r="J307" i="3"/>
  <c r="N307" i="3" s="1"/>
  <c r="J316" i="3"/>
  <c r="N316" i="3" s="1"/>
  <c r="J326" i="3"/>
  <c r="N326" i="3" s="1"/>
  <c r="J334" i="3"/>
  <c r="N334" i="3" s="1"/>
  <c r="J342" i="3"/>
  <c r="N342" i="3" s="1"/>
  <c r="J350" i="3"/>
  <c r="N350" i="3" s="1"/>
  <c r="J358" i="3"/>
  <c r="N358" i="3" s="1"/>
  <c r="J366" i="3"/>
  <c r="N366" i="3" s="1"/>
  <c r="J374" i="3"/>
  <c r="N374" i="3" s="1"/>
  <c r="J382" i="3"/>
  <c r="N382" i="3" s="1"/>
  <c r="J390" i="3"/>
  <c r="N390" i="3" s="1"/>
  <c r="J398" i="3"/>
  <c r="N398" i="3" s="1"/>
  <c r="J406" i="3"/>
  <c r="N406" i="3" s="1"/>
  <c r="J414" i="3"/>
  <c r="N414" i="3" s="1"/>
  <c r="J424" i="3"/>
  <c r="N424" i="3" s="1"/>
  <c r="J432" i="3"/>
  <c r="N432" i="3" s="1"/>
  <c r="J442" i="3"/>
  <c r="N442" i="3" s="1"/>
  <c r="J462" i="3"/>
  <c r="N462" i="3" s="1"/>
  <c r="J472" i="3"/>
  <c r="N472" i="3" s="1"/>
  <c r="L479" i="3"/>
  <c r="L468" i="3"/>
  <c r="L431" i="3"/>
  <c r="L331" i="3"/>
  <c r="L340" i="3"/>
  <c r="L345" i="3"/>
  <c r="L350" i="3"/>
  <c r="L364" i="3"/>
  <c r="L377" i="3"/>
  <c r="L382" i="3"/>
  <c r="L387" i="3"/>
  <c r="L393" i="3"/>
  <c r="L400" i="3"/>
  <c r="L409" i="3"/>
  <c r="L294" i="3"/>
  <c r="J41" i="3"/>
  <c r="N41" i="3" s="1"/>
  <c r="J78" i="3"/>
  <c r="N78" i="3" s="1"/>
  <c r="J124" i="3"/>
  <c r="N124" i="3" s="1"/>
  <c r="J175" i="3"/>
  <c r="N175" i="3" s="1"/>
  <c r="J216" i="3"/>
  <c r="N216" i="3" s="1"/>
  <c r="J250" i="3"/>
  <c r="N250" i="3" s="1"/>
  <c r="J284" i="3"/>
  <c r="N284" i="3" s="1"/>
  <c r="J318" i="3"/>
  <c r="N318" i="3" s="1"/>
  <c r="J352" i="3"/>
  <c r="N352" i="3" s="1"/>
  <c r="J384" i="3"/>
  <c r="N384" i="3" s="1"/>
  <c r="J417" i="3"/>
  <c r="N417" i="3" s="1"/>
  <c r="J455" i="3"/>
  <c r="N455" i="3" s="1"/>
  <c r="L441" i="3"/>
  <c r="L372" i="3"/>
  <c r="L398" i="3"/>
  <c r="L408" i="3"/>
  <c r="L303" i="3"/>
  <c r="L272" i="3"/>
  <c r="L275" i="3"/>
  <c r="L285" i="3"/>
  <c r="L289" i="3"/>
  <c r="L216" i="3"/>
  <c r="L235" i="3"/>
  <c r="L248" i="3"/>
  <c r="L207" i="3"/>
  <c r="L211" i="3"/>
  <c r="L192" i="3"/>
  <c r="L190" i="3"/>
  <c r="L170" i="3"/>
  <c r="L146" i="3"/>
  <c r="L135" i="3"/>
  <c r="L133" i="3"/>
  <c r="L107" i="3"/>
  <c r="L100" i="3"/>
  <c r="L68" i="3"/>
  <c r="L56" i="3"/>
  <c r="L60" i="3"/>
  <c r="L43" i="3"/>
  <c r="L47" i="3"/>
  <c r="L51" i="3"/>
  <c r="L25" i="3"/>
  <c r="J21" i="3"/>
  <c r="N21" i="3" s="1"/>
  <c r="J29" i="3"/>
  <c r="N29" i="3" s="1"/>
  <c r="J69" i="3"/>
  <c r="N69" i="3" s="1"/>
  <c r="J309" i="3"/>
  <c r="N309" i="3" s="1"/>
  <c r="J444" i="3"/>
  <c r="N444" i="3" s="1"/>
  <c r="J48" i="3"/>
  <c r="N48" i="3" s="1"/>
  <c r="J88" i="3"/>
  <c r="N88" i="3" s="1"/>
  <c r="J133" i="3"/>
  <c r="N133" i="3" s="1"/>
  <c r="J185" i="3"/>
  <c r="N185" i="3" s="1"/>
  <c r="J223" i="3"/>
  <c r="N223" i="3" s="1"/>
  <c r="J259" i="3"/>
  <c r="N259" i="3" s="1"/>
  <c r="J291" i="3"/>
  <c r="N291" i="3" s="1"/>
  <c r="J327" i="3"/>
  <c r="N327" i="3" s="1"/>
  <c r="J359" i="3"/>
  <c r="N359" i="3" s="1"/>
  <c r="J391" i="3"/>
  <c r="N391" i="3" s="1"/>
  <c r="J425" i="3"/>
  <c r="N425" i="3" s="1"/>
  <c r="J463" i="3"/>
  <c r="N463" i="3" s="1"/>
  <c r="L469" i="3"/>
  <c r="L447" i="3"/>
  <c r="L328" i="3"/>
  <c r="L360" i="3"/>
  <c r="L375" i="3"/>
  <c r="L401" i="3"/>
  <c r="L410" i="3"/>
  <c r="L316" i="3"/>
  <c r="L322" i="3"/>
  <c r="L304" i="3"/>
  <c r="L308" i="3"/>
  <c r="L259" i="3"/>
  <c r="L264" i="3"/>
  <c r="L268" i="3"/>
  <c r="L286" i="3"/>
  <c r="L220" i="3"/>
  <c r="L224" i="3"/>
  <c r="L228" i="3"/>
  <c r="L232" i="3"/>
  <c r="L240" i="3"/>
  <c r="L244" i="3"/>
  <c r="L249" i="3"/>
  <c r="L252" i="3"/>
  <c r="L215" i="3"/>
  <c r="L208" i="3"/>
  <c r="L193" i="3"/>
  <c r="L182" i="3"/>
  <c r="L176" i="3"/>
  <c r="L167" i="3"/>
  <c r="L159" i="3"/>
  <c r="L151" i="3"/>
  <c r="L142" i="3"/>
  <c r="L129" i="3"/>
  <c r="L124" i="3"/>
  <c r="L114" i="3"/>
  <c r="L95" i="3"/>
  <c r="L85" i="3"/>
  <c r="L80" i="3"/>
  <c r="L69" i="3"/>
  <c r="L40" i="3"/>
  <c r="L31" i="3"/>
  <c r="L26" i="3"/>
  <c r="J22" i="3"/>
  <c r="N22" i="3" s="1"/>
  <c r="L20" i="3"/>
  <c r="J206" i="3"/>
  <c r="N206" i="3" s="1"/>
  <c r="J240" i="3"/>
  <c r="N240" i="3" s="1"/>
  <c r="J276" i="3"/>
  <c r="N276" i="3" s="1"/>
  <c r="J408" i="3"/>
  <c r="N408" i="3" s="1"/>
  <c r="L433" i="3"/>
  <c r="J49" i="3"/>
  <c r="N49" i="3" s="1"/>
  <c r="J89" i="3"/>
  <c r="N89" i="3" s="1"/>
  <c r="J135" i="3"/>
  <c r="N135" i="3" s="1"/>
  <c r="J188" i="3"/>
  <c r="N188" i="3" s="1"/>
  <c r="J224" i="3"/>
  <c r="N224" i="3" s="1"/>
  <c r="J260" i="3"/>
  <c r="N260" i="3" s="1"/>
  <c r="J293" i="3"/>
  <c r="N293" i="3" s="1"/>
  <c r="J328" i="3"/>
  <c r="N328" i="3" s="1"/>
  <c r="J360" i="3"/>
  <c r="N360" i="3" s="1"/>
  <c r="J392" i="3"/>
  <c r="N392" i="3" s="1"/>
  <c r="J426" i="3"/>
  <c r="N426" i="3" s="1"/>
  <c r="J464" i="3"/>
  <c r="N464" i="3" s="1"/>
  <c r="L329" i="3"/>
  <c r="L346" i="3"/>
  <c r="L361" i="3"/>
  <c r="L388" i="3"/>
  <c r="L317" i="3"/>
  <c r="L298" i="3"/>
  <c r="L309" i="3"/>
  <c r="L269" i="3"/>
  <c r="L273" i="3"/>
  <c r="L282" i="3"/>
  <c r="L217" i="3"/>
  <c r="L221" i="3"/>
  <c r="L229" i="3"/>
  <c r="L236" i="3"/>
  <c r="L241" i="3"/>
  <c r="L199" i="3"/>
  <c r="L203" i="3"/>
  <c r="L212" i="3"/>
  <c r="L180" i="3"/>
  <c r="L143" i="3"/>
  <c r="L140" i="3"/>
  <c r="L130" i="3"/>
  <c r="L125" i="3"/>
  <c r="L75" i="3"/>
  <c r="L74" i="3"/>
  <c r="L70" i="3"/>
  <c r="L57" i="3"/>
  <c r="L21" i="3"/>
  <c r="J23" i="3"/>
  <c r="N23" i="3" s="1"/>
  <c r="J20" i="3"/>
  <c r="N20" i="3" s="1"/>
  <c r="J112" i="3"/>
  <c r="N112" i="3" s="1"/>
  <c r="J344" i="3"/>
  <c r="N344" i="3" s="1"/>
  <c r="J59" i="3"/>
  <c r="N59" i="3" s="1"/>
  <c r="J145" i="3"/>
  <c r="N145" i="3" s="1"/>
  <c r="J196" i="3"/>
  <c r="N196" i="3" s="1"/>
  <c r="J231" i="3"/>
  <c r="N231" i="3" s="1"/>
  <c r="J267" i="3"/>
  <c r="N267" i="3" s="1"/>
  <c r="J300" i="3"/>
  <c r="N300" i="3" s="1"/>
  <c r="J335" i="3"/>
  <c r="N335" i="3" s="1"/>
  <c r="J367" i="3"/>
  <c r="N367" i="3" s="1"/>
  <c r="J399" i="3"/>
  <c r="N399" i="3" s="1"/>
  <c r="J433" i="3"/>
  <c r="N433" i="3" s="1"/>
  <c r="J473" i="3"/>
  <c r="N473" i="3" s="1"/>
  <c r="L426" i="3"/>
  <c r="L332" i="3"/>
  <c r="L351" i="3"/>
  <c r="L363" i="3"/>
  <c r="L378" i="3"/>
  <c r="L390" i="3"/>
  <c r="L318" i="3"/>
  <c r="L299" i="3"/>
  <c r="L305" i="3"/>
  <c r="L310" i="3"/>
  <c r="L265" i="3"/>
  <c r="L276" i="3"/>
  <c r="L279" i="3"/>
  <c r="L287" i="3"/>
  <c r="L290" i="3"/>
  <c r="L222" i="3"/>
  <c r="L225" i="3"/>
  <c r="L230" i="3"/>
  <c r="L233" i="3"/>
  <c r="O233" i="3" s="1"/>
  <c r="L237" i="3"/>
  <c r="L253" i="3"/>
  <c r="L194" i="3"/>
  <c r="L188" i="3"/>
  <c r="L177" i="3"/>
  <c r="L164" i="3"/>
  <c r="L158" i="3"/>
  <c r="L136" i="3"/>
  <c r="L128" i="3"/>
  <c r="L105" i="3"/>
  <c r="L64" i="3"/>
  <c r="L44" i="3"/>
  <c r="O44" i="3" s="1"/>
  <c r="L48" i="3"/>
  <c r="L37" i="3"/>
  <c r="L22" i="3"/>
  <c r="L27" i="3"/>
  <c r="J24" i="3"/>
  <c r="N24" i="3" s="1"/>
  <c r="J60" i="3"/>
  <c r="N60" i="3" s="1"/>
  <c r="J100" i="3"/>
  <c r="N100" i="3" s="1"/>
  <c r="J146" i="3"/>
  <c r="N146" i="3" s="1"/>
  <c r="J198" i="3"/>
  <c r="N198" i="3" s="1"/>
  <c r="J232" i="3"/>
  <c r="N232" i="3" s="1"/>
  <c r="J268" i="3"/>
  <c r="N268" i="3" s="1"/>
  <c r="J336" i="3"/>
  <c r="N336" i="3" s="1"/>
  <c r="J368" i="3"/>
  <c r="N368" i="3" s="1"/>
  <c r="J400" i="3"/>
  <c r="N400" i="3" s="1"/>
  <c r="J436" i="3"/>
  <c r="N436" i="3" s="1"/>
  <c r="J475" i="3"/>
  <c r="N475" i="3" s="1"/>
  <c r="L458" i="3"/>
  <c r="L333" i="3"/>
  <c r="L380" i="3"/>
  <c r="L392" i="3"/>
  <c r="L413" i="3"/>
  <c r="L312" i="3"/>
  <c r="L260" i="3"/>
  <c r="L270" i="3"/>
  <c r="L218" i="3"/>
  <c r="L238" i="3"/>
  <c r="L242" i="3"/>
  <c r="L250" i="3"/>
  <c r="L254" i="3"/>
  <c r="L200" i="3"/>
  <c r="L204" i="3"/>
  <c r="L209" i="3"/>
  <c r="L195" i="3"/>
  <c r="L179" i="3"/>
  <c r="L144" i="3"/>
  <c r="L122" i="3"/>
  <c r="L121" i="3"/>
  <c r="L112" i="3"/>
  <c r="L101" i="3"/>
  <c r="L91" i="3"/>
  <c r="L76" i="3"/>
  <c r="L65" i="3"/>
  <c r="L71" i="3"/>
  <c r="L58" i="3"/>
  <c r="L41" i="3"/>
  <c r="L45" i="3"/>
  <c r="J25" i="3"/>
  <c r="N25" i="3" s="1"/>
  <c r="J68" i="3"/>
  <c r="N68" i="3" s="1"/>
  <c r="J110" i="3"/>
  <c r="N110" i="3" s="1"/>
  <c r="J158" i="3"/>
  <c r="N158" i="3" s="1"/>
  <c r="J205" i="3"/>
  <c r="N205" i="3" s="1"/>
  <c r="J239" i="3"/>
  <c r="N239" i="3" s="1"/>
  <c r="J275" i="3"/>
  <c r="N275" i="3" s="1"/>
  <c r="J308" i="3"/>
  <c r="N308" i="3" s="1"/>
  <c r="J343" i="3"/>
  <c r="N343" i="3" s="1"/>
  <c r="J375" i="3"/>
  <c r="N375" i="3" s="1"/>
  <c r="J407" i="3"/>
  <c r="N407" i="3" s="1"/>
  <c r="J443" i="3"/>
  <c r="N443" i="3" s="1"/>
  <c r="L477" i="3"/>
  <c r="L432" i="3"/>
  <c r="L337" i="3"/>
  <c r="L354" i="3"/>
  <c r="L365" i="3"/>
  <c r="L394" i="3"/>
  <c r="L405" i="3"/>
  <c r="L295" i="3"/>
  <c r="L300" i="3"/>
  <c r="L306" i="3"/>
  <c r="L293" i="3"/>
  <c r="L261" i="3"/>
  <c r="L266" i="3"/>
  <c r="L274" i="3"/>
  <c r="L277" i="3"/>
  <c r="L280" i="3"/>
  <c r="L283" i="3"/>
  <c r="L226" i="3"/>
  <c r="L234" i="3"/>
  <c r="L247" i="3"/>
  <c r="L205" i="3"/>
  <c r="L198" i="3"/>
  <c r="L185" i="3"/>
  <c r="L174" i="3"/>
  <c r="L162" i="3"/>
  <c r="L155" i="3"/>
  <c r="L147" i="3"/>
  <c r="L137" i="3"/>
  <c r="L131" i="3"/>
  <c r="L117" i="3"/>
  <c r="L110" i="3"/>
  <c r="L102" i="3"/>
  <c r="L77" i="3"/>
  <c r="L82" i="3"/>
  <c r="L59" i="3"/>
  <c r="L55" i="3"/>
  <c r="L46" i="3"/>
  <c r="L49" i="3"/>
  <c r="L35" i="3"/>
  <c r="L23" i="3"/>
  <c r="J26" i="3"/>
  <c r="N26" i="3" s="1"/>
  <c r="J159" i="3"/>
  <c r="N159" i="3" s="1"/>
  <c r="J376" i="3"/>
  <c r="N376" i="3" s="1"/>
  <c r="L437" i="3"/>
  <c r="J283" i="3"/>
  <c r="N283" i="3" s="1"/>
  <c r="L419" i="3"/>
  <c r="L395" i="3"/>
  <c r="L262" i="3"/>
  <c r="L231" i="3"/>
  <c r="L206" i="3"/>
  <c r="L152" i="3"/>
  <c r="J317" i="3"/>
  <c r="N317" i="3" s="1"/>
  <c r="L341" i="3"/>
  <c r="L296" i="3"/>
  <c r="L263" i="3"/>
  <c r="L278" i="3"/>
  <c r="L258" i="3"/>
  <c r="L183" i="3"/>
  <c r="L153" i="3"/>
  <c r="L132" i="3"/>
  <c r="L83" i="3"/>
  <c r="L39" i="3"/>
  <c r="L33" i="3"/>
  <c r="J416" i="3"/>
  <c r="N416" i="3" s="1"/>
  <c r="L92" i="3"/>
  <c r="L28" i="3"/>
  <c r="L113" i="3"/>
  <c r="J40" i="3"/>
  <c r="N40" i="3" s="1"/>
  <c r="J351" i="3"/>
  <c r="N351" i="3" s="1"/>
  <c r="L355" i="3"/>
  <c r="L406" i="3"/>
  <c r="L145" i="3"/>
  <c r="L66" i="3"/>
  <c r="L42" i="3"/>
  <c r="L24" i="3"/>
  <c r="L223" i="3"/>
  <c r="L371" i="3"/>
  <c r="J77" i="3"/>
  <c r="N77" i="3" s="1"/>
  <c r="J383" i="3"/>
  <c r="N383" i="3" s="1"/>
  <c r="L407" i="3"/>
  <c r="L267" i="3"/>
  <c r="L281" i="3"/>
  <c r="L219" i="3"/>
  <c r="L251" i="3"/>
  <c r="L210" i="3"/>
  <c r="O210" i="3" s="1"/>
  <c r="L175" i="3"/>
  <c r="L123" i="3"/>
  <c r="L67" i="3"/>
  <c r="J123" i="3"/>
  <c r="N123" i="3" s="1"/>
  <c r="L369" i="3"/>
  <c r="L326" i="3"/>
  <c r="L271" i="3"/>
  <c r="L239" i="3"/>
  <c r="L191" i="3"/>
  <c r="L173" i="3"/>
  <c r="L116" i="3"/>
  <c r="J454" i="3"/>
  <c r="N454" i="3" s="1"/>
  <c r="L148" i="3"/>
  <c r="L63" i="3"/>
  <c r="J215" i="3"/>
  <c r="N215" i="3" s="1"/>
  <c r="L464" i="3"/>
  <c r="L383" i="3"/>
  <c r="L320" i="3"/>
  <c r="L291" i="3"/>
  <c r="L288" i="3"/>
  <c r="L243" i="3"/>
  <c r="L201" i="3"/>
  <c r="L196" i="3"/>
  <c r="L109" i="3"/>
  <c r="L78" i="3"/>
  <c r="J27" i="3"/>
  <c r="N27" i="3" s="1"/>
  <c r="J249" i="3"/>
  <c r="N249" i="3" s="1"/>
  <c r="L440" i="3"/>
  <c r="L384" i="3"/>
  <c r="L321" i="3"/>
  <c r="L227" i="3"/>
  <c r="L202" i="3"/>
  <c r="L161" i="3"/>
  <c r="L106" i="3"/>
  <c r="L79" i="3"/>
  <c r="J28" i="3"/>
  <c r="N28" i="3" s="1"/>
  <c r="J174" i="3"/>
  <c r="N174" i="3" s="1"/>
  <c r="L307" i="3"/>
  <c r="L284" i="3"/>
  <c r="L29" i="3"/>
  <c r="J90" i="3"/>
  <c r="N90" i="3" s="1"/>
  <c r="L50" i="3"/>
  <c r="L89" i="3"/>
  <c r="L93" i="3"/>
  <c r="L96" i="3"/>
  <c r="L38" i="3"/>
  <c r="J52" i="3"/>
  <c r="N52" i="3" s="1"/>
  <c r="L88" i="3"/>
  <c r="J61" i="3"/>
  <c r="N61" i="3" s="1"/>
  <c r="J98" i="3"/>
  <c r="N98" i="3" s="1"/>
  <c r="L52" i="3"/>
  <c r="L90" i="3"/>
  <c r="J97" i="3"/>
  <c r="N97" i="3" s="1"/>
  <c r="J301" i="3"/>
  <c r="N301" i="3" s="1"/>
  <c r="L97" i="3"/>
  <c r="L301" i="3"/>
  <c r="J451" i="3"/>
  <c r="N451" i="3" s="1"/>
  <c r="J450" i="3"/>
  <c r="N450" i="3" s="1"/>
  <c r="L449" i="3"/>
  <c r="J452" i="3"/>
  <c r="N452" i="3" s="1"/>
  <c r="L450" i="3"/>
  <c r="J449" i="3"/>
  <c r="N449" i="3" s="1"/>
  <c r="J246" i="3"/>
  <c r="N246" i="3" s="1"/>
  <c r="J256" i="3"/>
  <c r="N256" i="3" s="1"/>
  <c r="L452" i="3"/>
  <c r="L451" i="3"/>
  <c r="L246" i="3"/>
  <c r="L256" i="3"/>
  <c r="L255" i="3"/>
  <c r="J255" i="3"/>
  <c r="N255" i="3" s="1"/>
  <c r="J245" i="3"/>
  <c r="N245" i="3" s="1"/>
  <c r="L245" i="3"/>
  <c r="J81" i="3"/>
  <c r="N81" i="3" s="1"/>
  <c r="J72" i="3"/>
  <c r="N72" i="3" s="1"/>
  <c r="L61" i="3"/>
  <c r="L72" i="3"/>
  <c r="K81" i="3"/>
  <c r="L81" i="3" s="1"/>
  <c r="L98" i="3"/>
  <c r="O12" i="3"/>
  <c r="E9" i="2"/>
  <c r="E9" i="7"/>
  <c r="E9" i="6"/>
  <c r="Q72" i="11" l="1"/>
  <c r="Q299" i="11"/>
  <c r="Q447" i="11"/>
  <c r="Q106" i="11"/>
  <c r="Q96" i="11"/>
  <c r="Q20" i="11"/>
  <c r="Q22" i="11"/>
  <c r="Q467" i="11"/>
  <c r="Q250" i="11"/>
  <c r="Q121" i="11"/>
  <c r="Q469" i="11"/>
  <c r="Q345" i="11"/>
  <c r="Q430" i="11"/>
  <c r="Q263" i="11"/>
  <c r="Q357" i="11"/>
  <c r="Q191" i="11"/>
  <c r="Q271" i="11"/>
  <c r="Q362" i="11"/>
  <c r="Q143" i="11"/>
  <c r="Q433" i="11"/>
  <c r="Q352" i="11"/>
  <c r="Q227" i="11"/>
  <c r="Q333" i="11"/>
  <c r="Q298" i="11"/>
  <c r="Q254" i="11"/>
  <c r="Q258" i="11"/>
  <c r="Q322" i="11"/>
  <c r="Q74" i="11"/>
  <c r="Q318" i="11"/>
  <c r="Q278" i="11"/>
  <c r="Q395" i="11"/>
  <c r="Q145" i="11"/>
  <c r="Q107" i="11"/>
  <c r="Q341" i="11"/>
  <c r="Q350" i="11"/>
  <c r="Q326" i="11"/>
  <c r="Q110" i="11"/>
  <c r="Q377" i="11"/>
  <c r="Q291" i="11"/>
  <c r="Q222" i="11"/>
  <c r="Q161" i="11"/>
  <c r="Q344" i="11"/>
  <c r="Q364" i="11"/>
  <c r="Q390" i="11"/>
  <c r="Q479" i="11"/>
  <c r="Q425" i="11"/>
  <c r="Q41" i="11"/>
  <c r="Q427" i="11"/>
  <c r="Q64" i="11"/>
  <c r="Q274" i="11"/>
  <c r="Q370" i="11"/>
  <c r="Q439" i="11"/>
  <c r="Q297" i="11"/>
  <c r="Q451" i="11"/>
  <c r="Q307" i="11"/>
  <c r="Q206" i="11"/>
  <c r="Q63" i="11"/>
  <c r="Q264" i="11"/>
  <c r="Q192" i="11"/>
  <c r="Q312" i="11"/>
  <c r="Q92" i="11"/>
  <c r="Q221" i="11"/>
  <c r="Q290" i="11"/>
  <c r="Q294" i="11"/>
  <c r="Q420" i="11"/>
  <c r="Q232" i="11"/>
  <c r="Q196" i="11"/>
  <c r="Q152" i="11"/>
  <c r="Q375" i="11"/>
  <c r="Q237" i="11"/>
  <c r="Q151" i="11"/>
  <c r="Q59" i="11"/>
  <c r="Q384" i="11"/>
  <c r="Q216" i="11"/>
  <c r="Q285" i="11"/>
  <c r="Q314" i="11"/>
  <c r="Q428" i="11"/>
  <c r="Q80" i="11"/>
  <c r="Q462" i="11"/>
  <c r="Q305" i="11"/>
  <c r="Q304" i="11"/>
  <c r="Q21" i="11"/>
  <c r="Q155" i="11"/>
  <c r="Q266" i="11"/>
  <c r="Q85" i="11"/>
  <c r="Q457" i="11"/>
  <c r="Q458" i="11"/>
  <c r="Q100" i="11"/>
  <c r="Q97" i="11"/>
  <c r="Q125" i="11"/>
  <c r="Q88" i="11"/>
  <c r="Q202" i="11"/>
  <c r="Q211" i="11"/>
  <c r="Q360" i="11"/>
  <c r="Q75" i="11"/>
  <c r="Q378" i="11"/>
  <c r="Q267" i="11"/>
  <c r="Q272" i="11"/>
  <c r="Q365" i="11"/>
  <c r="Q443" i="11"/>
  <c r="Q335" i="11"/>
  <c r="Q66" i="11"/>
  <c r="Q386" i="11"/>
  <c r="Q114" i="11"/>
  <c r="Q33" i="11"/>
  <c r="Q347" i="11"/>
  <c r="Q45" i="11"/>
  <c r="Q35" i="11"/>
  <c r="Q391" i="11"/>
  <c r="Q248" i="11"/>
  <c r="Q269" i="11"/>
  <c r="Q356" i="11"/>
  <c r="Q426" i="11"/>
  <c r="Q101" i="11"/>
  <c r="Q383" i="11"/>
  <c r="Q158" i="11"/>
  <c r="Q234" i="11"/>
  <c r="Q262" i="11"/>
  <c r="Q414" i="11"/>
  <c r="Q472" i="11"/>
  <c r="Q346" i="11"/>
  <c r="Q69" i="11"/>
  <c r="Q44" i="11"/>
  <c r="Q231" i="11"/>
  <c r="Q123" i="11"/>
  <c r="Q175" i="11"/>
  <c r="Q400" i="11"/>
  <c r="Q319" i="11"/>
  <c r="Q31" i="11"/>
  <c r="Q417" i="11"/>
  <c r="Q423" i="11"/>
  <c r="Q371" i="11"/>
  <c r="Q58" i="11"/>
  <c r="Q296" i="11"/>
  <c r="Q376" i="11"/>
  <c r="Q277" i="11"/>
  <c r="Q281" i="11"/>
  <c r="Q95" i="11"/>
  <c r="Q130" i="11"/>
  <c r="Q225" i="11"/>
  <c r="Q342" i="11"/>
  <c r="Q477" i="11"/>
  <c r="Q153" i="11"/>
  <c r="Q56" i="11"/>
  <c r="Q60" i="11"/>
  <c r="Q43" i="11"/>
  <c r="Q49" i="11"/>
  <c r="Q65" i="11"/>
  <c r="Q409" i="11"/>
  <c r="Q226" i="11"/>
  <c r="Q330" i="11"/>
  <c r="Q193" i="11"/>
  <c r="Q170" i="11"/>
  <c r="Q382" i="11"/>
  <c r="Q480" i="11"/>
  <c r="Q282" i="11"/>
  <c r="Q355" i="11"/>
  <c r="Q183" i="11"/>
  <c r="Q348" i="11"/>
  <c r="Q306" i="11"/>
  <c r="Q287" i="11"/>
  <c r="Q204" i="11"/>
  <c r="Q361" i="11"/>
  <c r="Q27" i="11"/>
  <c r="Q233" i="11"/>
  <c r="Q147" i="11"/>
  <c r="Q381" i="11"/>
  <c r="Q465" i="11"/>
  <c r="Q273" i="11"/>
  <c r="Q52" i="11"/>
  <c r="Q219" i="11"/>
  <c r="Q337" i="11"/>
  <c r="Q68" i="11"/>
  <c r="Q236" i="11"/>
  <c r="Q323" i="11"/>
  <c r="Q245" i="11"/>
  <c r="Q93" i="11"/>
  <c r="Q25" i="11"/>
  <c r="Q301" i="11"/>
  <c r="Q112" i="11"/>
  <c r="Q140" i="11"/>
  <c r="Q455" i="11"/>
  <c r="Q332" i="11"/>
  <c r="Q411" i="11"/>
  <c r="Q437" i="11"/>
  <c r="Q338" i="11"/>
  <c r="Q249" i="11"/>
  <c r="Q456" i="11"/>
  <c r="Q367" i="11"/>
  <c r="Q89" i="11"/>
  <c r="Q413" i="11"/>
  <c r="Q55" i="11"/>
  <c r="Q444" i="11"/>
  <c r="O484" i="11"/>
  <c r="R484" i="11" s="1"/>
  <c r="Q124" i="11"/>
  <c r="Q91" i="11"/>
  <c r="Q136" i="11"/>
  <c r="Q51" i="11"/>
  <c r="Q328" i="11"/>
  <c r="Q180" i="11"/>
  <c r="Q396" i="11"/>
  <c r="Q316" i="11"/>
  <c r="Q276" i="11"/>
  <c r="Q340" i="11"/>
  <c r="Q190" i="11"/>
  <c r="Q372" i="11"/>
  <c r="Q47" i="11"/>
  <c r="Q279" i="11"/>
  <c r="Q446" i="11"/>
  <c r="Q369" i="11"/>
  <c r="Q403" i="11"/>
  <c r="Q246" i="11"/>
  <c r="Q466" i="11"/>
  <c r="Q253" i="11"/>
  <c r="Q363" i="11"/>
  <c r="Q412" i="11"/>
  <c r="Q78" i="11"/>
  <c r="Q315" i="11"/>
  <c r="Q449" i="11"/>
  <c r="Q148" i="11"/>
  <c r="Q379" i="11"/>
  <c r="Q135" i="11"/>
  <c r="Q260" i="11"/>
  <c r="Q215" i="11"/>
  <c r="Q404" i="11"/>
  <c r="Q247" i="11"/>
  <c r="Q48" i="11"/>
  <c r="Q185" i="11"/>
  <c r="Q38" i="11"/>
  <c r="Q90" i="11"/>
  <c r="Q102" i="11"/>
  <c r="Q82" i="11"/>
  <c r="Q131" i="11"/>
  <c r="Q468" i="11"/>
  <c r="Q438" i="11"/>
  <c r="Q410" i="11"/>
  <c r="Q463" i="11"/>
  <c r="Q270" i="11"/>
  <c r="Q327" i="11"/>
  <c r="Q24" i="11"/>
  <c r="Q116" i="11"/>
  <c r="Q167" i="11"/>
  <c r="Q358" i="11"/>
  <c r="Q275" i="11"/>
  <c r="Q429" i="11"/>
  <c r="Q336" i="11"/>
  <c r="Q113" i="11"/>
  <c r="Q452" i="11"/>
  <c r="Q162" i="11"/>
  <c r="Q205" i="11"/>
  <c r="Q252" i="11"/>
  <c r="Q259" i="11"/>
  <c r="Q320" i="11"/>
  <c r="Q393" i="11"/>
  <c r="Q473" i="11"/>
  <c r="Q42" i="11"/>
  <c r="Q194" i="11"/>
  <c r="Q387" i="11"/>
  <c r="Q308" i="11"/>
  <c r="Q406" i="11"/>
  <c r="Q286" i="11"/>
  <c r="Q198" i="11"/>
  <c r="Q128" i="11"/>
  <c r="Q26" i="11"/>
  <c r="Q280" i="11"/>
  <c r="Q380" i="11"/>
  <c r="Q284" i="11"/>
  <c r="Q268" i="11"/>
  <c r="Q321" i="11"/>
  <c r="Q133" i="11"/>
  <c r="Q77" i="11"/>
  <c r="Q40" i="11"/>
  <c r="Q303" i="11"/>
  <c r="Q402" i="11"/>
  <c r="Q239" i="11"/>
  <c r="Q442" i="11"/>
  <c r="Q331" i="11"/>
  <c r="Q385" i="11"/>
  <c r="Q109" i="11"/>
  <c r="Q105" i="11"/>
  <c r="Q182" i="11"/>
  <c r="Q432" i="11"/>
  <c r="Q419" i="11"/>
  <c r="Q207" i="11"/>
  <c r="Q289" i="11"/>
  <c r="Q256" i="11"/>
  <c r="Q243" i="11"/>
  <c r="Q122" i="11"/>
  <c r="Q176" i="11"/>
  <c r="Q302" i="11"/>
  <c r="Q440" i="11"/>
  <c r="Q405" i="11"/>
  <c r="Q351" i="11"/>
  <c r="Q353" i="11"/>
  <c r="Q431" i="11"/>
  <c r="Q177" i="11"/>
  <c r="Q389" i="11"/>
  <c r="Q313" i="11"/>
  <c r="Q174" i="11"/>
  <c r="Q242" i="11"/>
  <c r="Q83" i="11"/>
  <c r="Q159" i="11"/>
  <c r="Q209" i="11"/>
  <c r="Q240" i="11"/>
  <c r="Q293" i="11"/>
  <c r="Q394" i="11"/>
  <c r="Q164" i="11"/>
  <c r="Q310" i="11"/>
  <c r="Q173" i="11"/>
  <c r="Q445" i="11"/>
  <c r="Q392" i="11"/>
  <c r="Q23" i="11"/>
  <c r="Q98" i="11"/>
  <c r="Q199" i="11"/>
  <c r="Q71" i="11"/>
  <c r="Q300" i="11"/>
  <c r="Q388" i="11"/>
  <c r="Q220" i="11"/>
  <c r="Q146" i="11"/>
  <c r="Q37" i="11"/>
  <c r="Q228" i="11"/>
  <c r="Q397" i="11"/>
  <c r="Q142" i="11"/>
  <c r="Q79" i="11"/>
  <c r="Q244" i="11"/>
  <c r="Q208" i="11"/>
  <c r="Q224" i="11"/>
  <c r="Q238" i="11"/>
  <c r="Q29" i="11"/>
  <c r="Q288" i="11"/>
  <c r="Q454" i="11"/>
  <c r="Q408" i="11"/>
  <c r="Q261" i="11"/>
  <c r="Q475" i="11"/>
  <c r="Q229" i="11"/>
  <c r="Q334" i="11"/>
  <c r="Q416" i="11"/>
  <c r="Q329" i="11"/>
  <c r="Q203" i="11"/>
  <c r="Q374" i="11"/>
  <c r="Q201" i="11"/>
  <c r="Q235" i="11"/>
  <c r="Q401" i="11"/>
  <c r="R483" i="11"/>
  <c r="Q39" i="11"/>
  <c r="Q265" i="11"/>
  <c r="Q460" i="11"/>
  <c r="Q255" i="11"/>
  <c r="Q359" i="11"/>
  <c r="Q67" i="11"/>
  <c r="Q50" i="11"/>
  <c r="Q217" i="11"/>
  <c r="Q200" i="11"/>
  <c r="Q137" i="11"/>
  <c r="Q436" i="11"/>
  <c r="Q343" i="11"/>
  <c r="Q70" i="11"/>
  <c r="Q295" i="11"/>
  <c r="Q212" i="11"/>
  <c r="Q368" i="11"/>
  <c r="Q218" i="11"/>
  <c r="Q117" i="11"/>
  <c r="Q132" i="11"/>
  <c r="Q339" i="11"/>
  <c r="Q188" i="11"/>
  <c r="Q57" i="11"/>
  <c r="Q46" i="11"/>
  <c r="Q241" i="11"/>
  <c r="Q283" i="11"/>
  <c r="Q398" i="11"/>
  <c r="Q421" i="11"/>
  <c r="Q210" i="11"/>
  <c r="Q251" i="11"/>
  <c r="Q179" i="11"/>
  <c r="Q144" i="11"/>
  <c r="Q317" i="11"/>
  <c r="Q441" i="11"/>
  <c r="Q354" i="11"/>
  <c r="Q309" i="11"/>
  <c r="Q223" i="11"/>
  <c r="Q366" i="11"/>
  <c r="Q76" i="11"/>
  <c r="Q373" i="11"/>
  <c r="Q459" i="11"/>
  <c r="Q464" i="11"/>
  <c r="Q195" i="11"/>
  <c r="Q28" i="11"/>
  <c r="Q424" i="11"/>
  <c r="Q61" i="11"/>
  <c r="Q407" i="11"/>
  <c r="Q399" i="11"/>
  <c r="Q230" i="11"/>
  <c r="Q418" i="11"/>
  <c r="Q349" i="11"/>
  <c r="Q450" i="11"/>
  <c r="Q129" i="11"/>
  <c r="Q81" i="11"/>
  <c r="O245" i="3"/>
  <c r="M245" i="3"/>
  <c r="O29" i="3"/>
  <c r="P29" i="3" s="1"/>
  <c r="M29" i="3"/>
  <c r="M239" i="3"/>
  <c r="O239" i="3"/>
  <c r="P239" i="3" s="1"/>
  <c r="O341" i="3"/>
  <c r="P341" i="3" s="1"/>
  <c r="M341" i="3"/>
  <c r="O205" i="3"/>
  <c r="P205" i="3" s="1"/>
  <c r="M205" i="3"/>
  <c r="O329" i="3"/>
  <c r="P329" i="3" s="1"/>
  <c r="M329" i="3"/>
  <c r="O249" i="3"/>
  <c r="P249" i="3" s="1"/>
  <c r="M249" i="3"/>
  <c r="O133" i="3"/>
  <c r="P133" i="3" s="1"/>
  <c r="M133" i="3"/>
  <c r="O350" i="3"/>
  <c r="P350" i="3" s="1"/>
  <c r="M350" i="3"/>
  <c r="O425" i="3"/>
  <c r="P425" i="3" s="1"/>
  <c r="M425" i="3"/>
  <c r="O456" i="3"/>
  <c r="P456" i="3" s="1"/>
  <c r="M456" i="3"/>
  <c r="O436" i="3"/>
  <c r="P436" i="3" s="1"/>
  <c r="M436" i="3"/>
  <c r="M271" i="3"/>
  <c r="O271" i="3"/>
  <c r="P271" i="3" s="1"/>
  <c r="M437" i="3"/>
  <c r="O437" i="3"/>
  <c r="P437" i="3" s="1"/>
  <c r="M354" i="3"/>
  <c r="O354" i="3"/>
  <c r="P354" i="3" s="1"/>
  <c r="O200" i="3"/>
  <c r="P200" i="3" s="1"/>
  <c r="M200" i="3"/>
  <c r="O253" i="3"/>
  <c r="M253" i="3"/>
  <c r="P365" i="3"/>
  <c r="M342" i="3"/>
  <c r="O342" i="3"/>
  <c r="P342" i="3" s="1"/>
  <c r="O98" i="3"/>
  <c r="P98" i="3" s="1"/>
  <c r="M98" i="3"/>
  <c r="M38" i="3"/>
  <c r="O38" i="3"/>
  <c r="P38" i="3" s="1"/>
  <c r="O307" i="3"/>
  <c r="P307" i="3" s="1"/>
  <c r="M307" i="3"/>
  <c r="M321" i="3"/>
  <c r="O321" i="3"/>
  <c r="P321" i="3" s="1"/>
  <c r="M201" i="3"/>
  <c r="O201" i="3"/>
  <c r="P201" i="3" s="1"/>
  <c r="O63" i="3"/>
  <c r="P63" i="3" s="1"/>
  <c r="M63" i="3"/>
  <c r="O326" i="3"/>
  <c r="P326" i="3" s="1"/>
  <c r="M326" i="3"/>
  <c r="M219" i="3"/>
  <c r="O219" i="3"/>
  <c r="P219" i="3" s="1"/>
  <c r="M24" i="3"/>
  <c r="O24" i="3"/>
  <c r="P24" i="3" s="1"/>
  <c r="M113" i="3"/>
  <c r="O113" i="3"/>
  <c r="P113" i="3" s="1"/>
  <c r="O153" i="3"/>
  <c r="P153" i="3" s="1"/>
  <c r="M153" i="3"/>
  <c r="O152" i="3"/>
  <c r="P152" i="3" s="1"/>
  <c r="M152" i="3"/>
  <c r="M59" i="3"/>
  <c r="O59" i="3"/>
  <c r="P59" i="3" s="1"/>
  <c r="M147" i="3"/>
  <c r="O147" i="3"/>
  <c r="P147" i="3" s="1"/>
  <c r="M234" i="3"/>
  <c r="O234" i="3"/>
  <c r="P234" i="3" s="1"/>
  <c r="O293" i="3"/>
  <c r="P293" i="3" s="1"/>
  <c r="M293" i="3"/>
  <c r="O337" i="3"/>
  <c r="P337" i="3" s="1"/>
  <c r="M337" i="3"/>
  <c r="M41" i="3"/>
  <c r="O41" i="3"/>
  <c r="P41" i="3" s="1"/>
  <c r="O121" i="3"/>
  <c r="P121" i="3" s="1"/>
  <c r="M121" i="3"/>
  <c r="M254" i="3"/>
  <c r="O254" i="3"/>
  <c r="P254" i="3" s="1"/>
  <c r="M413" i="3"/>
  <c r="O413" i="3"/>
  <c r="P413" i="3" s="1"/>
  <c r="O128" i="3"/>
  <c r="P128" i="3" s="1"/>
  <c r="M128" i="3"/>
  <c r="O237" i="3"/>
  <c r="M237" i="3"/>
  <c r="O276" i="3"/>
  <c r="P276" i="3" s="1"/>
  <c r="M276" i="3"/>
  <c r="M363" i="3"/>
  <c r="O363" i="3"/>
  <c r="P363" i="3" s="1"/>
  <c r="M125" i="3"/>
  <c r="O125" i="3"/>
  <c r="P125" i="3" s="1"/>
  <c r="O241" i="3"/>
  <c r="P241" i="3" s="1"/>
  <c r="M241" i="3"/>
  <c r="M309" i="3"/>
  <c r="O309" i="3"/>
  <c r="P309" i="3" s="1"/>
  <c r="O20" i="3"/>
  <c r="P20" i="3" s="1"/>
  <c r="M20" i="3"/>
  <c r="O95" i="3"/>
  <c r="P95" i="3" s="1"/>
  <c r="M95" i="3"/>
  <c r="O176" i="3"/>
  <c r="P176" i="3" s="1"/>
  <c r="M176" i="3"/>
  <c r="O240" i="3"/>
  <c r="P240" i="3" s="1"/>
  <c r="M240" i="3"/>
  <c r="M259" i="3"/>
  <c r="O259" i="3"/>
  <c r="P259" i="3" s="1"/>
  <c r="O360" i="3"/>
  <c r="P360" i="3" s="1"/>
  <c r="M360" i="3"/>
  <c r="O43" i="3"/>
  <c r="P43" i="3" s="1"/>
  <c r="M43" i="3"/>
  <c r="M146" i="3"/>
  <c r="O146" i="3"/>
  <c r="P146" i="3" s="1"/>
  <c r="M216" i="3"/>
  <c r="O216" i="3"/>
  <c r="P216" i="3" s="1"/>
  <c r="O372" i="3"/>
  <c r="P372" i="3" s="1"/>
  <c r="M372" i="3"/>
  <c r="O400" i="3"/>
  <c r="P400" i="3" s="1"/>
  <c r="M400" i="3"/>
  <c r="O340" i="3"/>
  <c r="P340" i="3" s="1"/>
  <c r="M340" i="3"/>
  <c r="O376" i="3"/>
  <c r="P376" i="3" s="1"/>
  <c r="M376" i="3"/>
  <c r="O430" i="3"/>
  <c r="P430" i="3" s="1"/>
  <c r="M430" i="3"/>
  <c r="O439" i="3"/>
  <c r="P439" i="3" s="1"/>
  <c r="M439" i="3"/>
  <c r="M403" i="3"/>
  <c r="O403" i="3"/>
  <c r="P403" i="3" s="1"/>
  <c r="O421" i="3"/>
  <c r="P421" i="3" s="1"/>
  <c r="M421" i="3"/>
  <c r="O357" i="3"/>
  <c r="P357" i="3" s="1"/>
  <c r="M357" i="3"/>
  <c r="O438" i="3"/>
  <c r="P438" i="3" s="1"/>
  <c r="M438" i="3"/>
  <c r="O396" i="3"/>
  <c r="P396" i="3" s="1"/>
  <c r="M396" i="3"/>
  <c r="O334" i="3"/>
  <c r="P334" i="3" s="1"/>
  <c r="M334" i="3"/>
  <c r="O88" i="3"/>
  <c r="P88" i="3" s="1"/>
  <c r="M88" i="3"/>
  <c r="O464" i="3"/>
  <c r="P464" i="3" s="1"/>
  <c r="M464" i="3"/>
  <c r="O83" i="3"/>
  <c r="P83" i="3" s="1"/>
  <c r="M83" i="3"/>
  <c r="O131" i="3"/>
  <c r="P131" i="3" s="1"/>
  <c r="M131" i="3"/>
  <c r="M390" i="3"/>
  <c r="O390" i="3"/>
  <c r="P390" i="3" s="1"/>
  <c r="O273" i="3"/>
  <c r="P273" i="3" s="1"/>
  <c r="M273" i="3"/>
  <c r="O314" i="3"/>
  <c r="P314" i="3" s="1"/>
  <c r="M314" i="3"/>
  <c r="M411" i="3"/>
  <c r="O411" i="3"/>
  <c r="P411" i="3" s="1"/>
  <c r="M227" i="3"/>
  <c r="O227" i="3"/>
  <c r="P227" i="3" s="1"/>
  <c r="M223" i="3"/>
  <c r="O223" i="3"/>
  <c r="P223" i="3" s="1"/>
  <c r="M137" i="3"/>
  <c r="O137" i="3"/>
  <c r="P137" i="3" s="1"/>
  <c r="M199" i="3"/>
  <c r="O199" i="3"/>
  <c r="P199" i="3" s="1"/>
  <c r="O167" i="3"/>
  <c r="P167" i="3" s="1"/>
  <c r="M167" i="3"/>
  <c r="O135" i="3"/>
  <c r="P135" i="3" s="1"/>
  <c r="M135" i="3"/>
  <c r="O345" i="3"/>
  <c r="P345" i="3" s="1"/>
  <c r="M345" i="3"/>
  <c r="M367" i="3"/>
  <c r="O367" i="3"/>
  <c r="P367" i="3" s="1"/>
  <c r="O255" i="3"/>
  <c r="P255" i="3" s="1"/>
  <c r="M255" i="3"/>
  <c r="O148" i="3"/>
  <c r="P148" i="3" s="1"/>
  <c r="M148" i="3"/>
  <c r="O281" i="3"/>
  <c r="P281" i="3" s="1"/>
  <c r="M281" i="3"/>
  <c r="O42" i="3"/>
  <c r="P42" i="3" s="1"/>
  <c r="M42" i="3"/>
  <c r="M28" i="3"/>
  <c r="O28" i="3"/>
  <c r="P28" i="3" s="1"/>
  <c r="M206" i="3"/>
  <c r="O206" i="3"/>
  <c r="P206" i="3" s="1"/>
  <c r="M82" i="3"/>
  <c r="O82" i="3"/>
  <c r="P82" i="3" s="1"/>
  <c r="O155" i="3"/>
  <c r="P155" i="3" s="1"/>
  <c r="M155" i="3"/>
  <c r="M226" i="3"/>
  <c r="O226" i="3"/>
  <c r="P226" i="3" s="1"/>
  <c r="O306" i="3"/>
  <c r="P306" i="3" s="1"/>
  <c r="M306" i="3"/>
  <c r="M432" i="3"/>
  <c r="O432" i="3"/>
  <c r="P432" i="3" s="1"/>
  <c r="O58" i="3"/>
  <c r="P58" i="3" s="1"/>
  <c r="M58" i="3"/>
  <c r="M122" i="3"/>
  <c r="O122" i="3"/>
  <c r="P122" i="3" s="1"/>
  <c r="M250" i="3"/>
  <c r="O250" i="3"/>
  <c r="P250" i="3" s="1"/>
  <c r="O392" i="3"/>
  <c r="P392" i="3" s="1"/>
  <c r="M392" i="3"/>
  <c r="M27" i="3"/>
  <c r="O27" i="3"/>
  <c r="P27" i="3" s="1"/>
  <c r="O136" i="3"/>
  <c r="P136" i="3" s="1"/>
  <c r="M136" i="3"/>
  <c r="M265" i="3"/>
  <c r="O265" i="3"/>
  <c r="P265" i="3" s="1"/>
  <c r="M351" i="3"/>
  <c r="O351" i="3"/>
  <c r="P351" i="3" s="1"/>
  <c r="M130" i="3"/>
  <c r="O130" i="3"/>
  <c r="P130" i="3" s="1"/>
  <c r="M236" i="3"/>
  <c r="O236" i="3"/>
  <c r="P236" i="3" s="1"/>
  <c r="O298" i="3"/>
  <c r="P298" i="3" s="1"/>
  <c r="M298" i="3"/>
  <c r="O114" i="3"/>
  <c r="P114" i="3" s="1"/>
  <c r="M114" i="3"/>
  <c r="O182" i="3"/>
  <c r="P182" i="3" s="1"/>
  <c r="M182" i="3"/>
  <c r="M232" i="3"/>
  <c r="O232" i="3"/>
  <c r="P232" i="3" s="1"/>
  <c r="O308" i="3"/>
  <c r="P308" i="3" s="1"/>
  <c r="M308" i="3"/>
  <c r="O328" i="3"/>
  <c r="P328" i="3" s="1"/>
  <c r="M328" i="3"/>
  <c r="O60" i="3"/>
  <c r="P60" i="3" s="1"/>
  <c r="M60" i="3"/>
  <c r="M170" i="3"/>
  <c r="O170" i="3"/>
  <c r="P170" i="3" s="1"/>
  <c r="O289" i="3"/>
  <c r="P289" i="3" s="1"/>
  <c r="M289" i="3"/>
  <c r="M441" i="3"/>
  <c r="O441" i="3"/>
  <c r="P441" i="3" s="1"/>
  <c r="M393" i="3"/>
  <c r="O393" i="3"/>
  <c r="P393" i="3" s="1"/>
  <c r="M331" i="3"/>
  <c r="O331" i="3"/>
  <c r="P331" i="3" s="1"/>
  <c r="M370" i="3"/>
  <c r="O370" i="3"/>
  <c r="P370" i="3" s="1"/>
  <c r="O446" i="3"/>
  <c r="P446" i="3" s="1"/>
  <c r="M446" i="3"/>
  <c r="P349" i="3"/>
  <c r="O348" i="3"/>
  <c r="P348" i="3" s="1"/>
  <c r="M348" i="3"/>
  <c r="O467" i="3"/>
  <c r="P467" i="3" s="1"/>
  <c r="M467" i="3"/>
  <c r="M210" i="3"/>
  <c r="N210" i="3"/>
  <c r="P210" i="3" s="1"/>
  <c r="M397" i="3"/>
  <c r="O397" i="3"/>
  <c r="P397" i="3" s="1"/>
  <c r="O417" i="3"/>
  <c r="P417" i="3" s="1"/>
  <c r="M417" i="3"/>
  <c r="P253" i="3"/>
  <c r="O353" i="3"/>
  <c r="P353" i="3" s="1"/>
  <c r="M353" i="3"/>
  <c r="O460" i="3"/>
  <c r="P460" i="3" s="1"/>
  <c r="M460" i="3"/>
  <c r="O389" i="3"/>
  <c r="P389" i="3" s="1"/>
  <c r="M389" i="3"/>
  <c r="M427" i="3"/>
  <c r="O427" i="3"/>
  <c r="P427" i="3" s="1"/>
  <c r="M202" i="3"/>
  <c r="O202" i="3"/>
  <c r="P202" i="3" s="1"/>
  <c r="M266" i="3"/>
  <c r="O266" i="3"/>
  <c r="P266" i="3" s="1"/>
  <c r="O204" i="3"/>
  <c r="P204" i="3" s="1"/>
  <c r="M204" i="3"/>
  <c r="M287" i="3"/>
  <c r="O287" i="3"/>
  <c r="P287" i="3" s="1"/>
  <c r="O268" i="3"/>
  <c r="P268" i="3" s="1"/>
  <c r="M268" i="3"/>
  <c r="M327" i="3"/>
  <c r="O327" i="3"/>
  <c r="P327" i="3" s="1"/>
  <c r="M335" i="3"/>
  <c r="O335" i="3"/>
  <c r="P335" i="3" s="1"/>
  <c r="O132" i="3"/>
  <c r="P132" i="3" s="1"/>
  <c r="M132" i="3"/>
  <c r="O261" i="3"/>
  <c r="P261" i="3" s="1"/>
  <c r="M261" i="3"/>
  <c r="M378" i="3"/>
  <c r="O378" i="3"/>
  <c r="P378" i="3" s="1"/>
  <c r="O269" i="3"/>
  <c r="P269" i="3" s="1"/>
  <c r="M269" i="3"/>
  <c r="M398" i="3"/>
  <c r="O398" i="3"/>
  <c r="P398" i="3" s="1"/>
  <c r="M81" i="3"/>
  <c r="O81" i="3"/>
  <c r="P81" i="3" s="1"/>
  <c r="M450" i="3"/>
  <c r="O450" i="3"/>
  <c r="P450" i="3" s="1"/>
  <c r="M96" i="3"/>
  <c r="O96" i="3"/>
  <c r="P96" i="3" s="1"/>
  <c r="O243" i="3"/>
  <c r="P243" i="3" s="1"/>
  <c r="M243" i="3"/>
  <c r="O369" i="3"/>
  <c r="P369" i="3" s="1"/>
  <c r="M369" i="3"/>
  <c r="O183" i="3"/>
  <c r="P183" i="3" s="1"/>
  <c r="M183" i="3"/>
  <c r="O72" i="3"/>
  <c r="P72" i="3" s="1"/>
  <c r="M72" i="3"/>
  <c r="M256" i="3"/>
  <c r="O256" i="3"/>
  <c r="P256" i="3" s="1"/>
  <c r="O90" i="3"/>
  <c r="P90" i="3" s="1"/>
  <c r="M90" i="3"/>
  <c r="M93" i="3"/>
  <c r="O93" i="3"/>
  <c r="P93" i="3" s="1"/>
  <c r="O440" i="3"/>
  <c r="P440" i="3" s="1"/>
  <c r="M440" i="3"/>
  <c r="O288" i="3"/>
  <c r="P288" i="3" s="1"/>
  <c r="M288" i="3"/>
  <c r="O267" i="3"/>
  <c r="P267" i="3" s="1"/>
  <c r="M267" i="3"/>
  <c r="O66" i="3"/>
  <c r="P66" i="3" s="1"/>
  <c r="M66" i="3"/>
  <c r="M92" i="3"/>
  <c r="O92" i="3"/>
  <c r="P92" i="3" s="1"/>
  <c r="O258" i="3"/>
  <c r="P258" i="3" s="1"/>
  <c r="M258" i="3"/>
  <c r="M231" i="3"/>
  <c r="O231" i="3"/>
  <c r="P231" i="3" s="1"/>
  <c r="M77" i="3"/>
  <c r="O77" i="3"/>
  <c r="P77" i="3" s="1"/>
  <c r="O162" i="3"/>
  <c r="P162" i="3" s="1"/>
  <c r="M162" i="3"/>
  <c r="M283" i="3"/>
  <c r="O283" i="3"/>
  <c r="P283" i="3" s="1"/>
  <c r="O300" i="3"/>
  <c r="P300" i="3" s="1"/>
  <c r="M300" i="3"/>
  <c r="O477" i="3"/>
  <c r="P477" i="3" s="1"/>
  <c r="M477" i="3"/>
  <c r="M71" i="3"/>
  <c r="O71" i="3"/>
  <c r="P71" i="3" s="1"/>
  <c r="O144" i="3"/>
  <c r="P144" i="3" s="1"/>
  <c r="M144" i="3"/>
  <c r="M242" i="3"/>
  <c r="O242" i="3"/>
  <c r="P242" i="3" s="1"/>
  <c r="O380" i="3"/>
  <c r="P380" i="3" s="1"/>
  <c r="M380" i="3"/>
  <c r="O22" i="3"/>
  <c r="P22" i="3" s="1"/>
  <c r="M22" i="3"/>
  <c r="O158" i="3"/>
  <c r="P158" i="3" s="1"/>
  <c r="M158" i="3"/>
  <c r="M230" i="3"/>
  <c r="O230" i="3"/>
  <c r="P230" i="3" s="1"/>
  <c r="M310" i="3"/>
  <c r="O310" i="3"/>
  <c r="P310" i="3" s="1"/>
  <c r="O332" i="3"/>
  <c r="P332" i="3" s="1"/>
  <c r="M332" i="3"/>
  <c r="O140" i="3"/>
  <c r="P140" i="3" s="1"/>
  <c r="M140" i="3"/>
  <c r="O229" i="3"/>
  <c r="P229" i="3" s="1"/>
  <c r="M229" i="3"/>
  <c r="M317" i="3"/>
  <c r="O317" i="3"/>
  <c r="P317" i="3" s="1"/>
  <c r="O26" i="3"/>
  <c r="P26" i="3" s="1"/>
  <c r="M26" i="3"/>
  <c r="O124" i="3"/>
  <c r="P124" i="3" s="1"/>
  <c r="M124" i="3"/>
  <c r="O193" i="3"/>
  <c r="P193" i="3" s="1"/>
  <c r="M193" i="3"/>
  <c r="M228" i="3"/>
  <c r="O228" i="3"/>
  <c r="P228" i="3" s="1"/>
  <c r="M304" i="3"/>
  <c r="O304" i="3"/>
  <c r="P304" i="3" s="1"/>
  <c r="M447" i="3"/>
  <c r="O447" i="3"/>
  <c r="P447" i="3" s="1"/>
  <c r="M56" i="3"/>
  <c r="O56" i="3"/>
  <c r="P56" i="3" s="1"/>
  <c r="O190" i="3"/>
  <c r="P190" i="3" s="1"/>
  <c r="M190" i="3"/>
  <c r="O285" i="3"/>
  <c r="M285" i="3"/>
  <c r="M387" i="3"/>
  <c r="O387" i="3"/>
  <c r="P387" i="3" s="1"/>
  <c r="M431" i="3"/>
  <c r="O431" i="3"/>
  <c r="P431" i="3" s="1"/>
  <c r="M315" i="3"/>
  <c r="O315" i="3"/>
  <c r="P315" i="3" s="1"/>
  <c r="M359" i="3"/>
  <c r="O359" i="3"/>
  <c r="P359" i="3" s="1"/>
  <c r="O457" i="3"/>
  <c r="P457" i="3" s="1"/>
  <c r="M457" i="3"/>
  <c r="O343" i="3"/>
  <c r="P343" i="3" s="1"/>
  <c r="M343" i="3"/>
  <c r="O472" i="3"/>
  <c r="P472" i="3" s="1"/>
  <c r="M472" i="3"/>
  <c r="M302" i="3"/>
  <c r="O302" i="3"/>
  <c r="P302" i="3" s="1"/>
  <c r="O391" i="3"/>
  <c r="P391" i="3" s="1"/>
  <c r="M391" i="3"/>
  <c r="M428" i="3"/>
  <c r="O428" i="3"/>
  <c r="P428" i="3" s="1"/>
  <c r="M347" i="3"/>
  <c r="O347" i="3"/>
  <c r="P347" i="3" s="1"/>
  <c r="M455" i="3"/>
  <c r="O455" i="3"/>
  <c r="P455" i="3" s="1"/>
  <c r="O373" i="3"/>
  <c r="M373" i="3"/>
  <c r="O442" i="3"/>
  <c r="P442" i="3" s="1"/>
  <c r="M442" i="3"/>
  <c r="O301" i="3"/>
  <c r="P301" i="3" s="1"/>
  <c r="M301" i="3"/>
  <c r="O260" i="3"/>
  <c r="P260" i="3" s="1"/>
  <c r="M260" i="3"/>
  <c r="M203" i="3"/>
  <c r="O203" i="3"/>
  <c r="P203" i="3" s="1"/>
  <c r="M80" i="3"/>
  <c r="O80" i="3"/>
  <c r="P80" i="3" s="1"/>
  <c r="M401" i="3"/>
  <c r="O401" i="3"/>
  <c r="P401" i="3" s="1"/>
  <c r="O248" i="3"/>
  <c r="P248" i="3" s="1"/>
  <c r="M248" i="3"/>
  <c r="O97" i="3"/>
  <c r="P97" i="3" s="1"/>
  <c r="M97" i="3"/>
  <c r="O196" i="3"/>
  <c r="P196" i="3" s="1"/>
  <c r="M196" i="3"/>
  <c r="M247" i="3"/>
  <c r="O247" i="3"/>
  <c r="P247" i="3" s="1"/>
  <c r="O112" i="3"/>
  <c r="P112" i="3" s="1"/>
  <c r="M112" i="3"/>
  <c r="O244" i="3"/>
  <c r="P244" i="3" s="1"/>
  <c r="M244" i="3"/>
  <c r="O47" i="3"/>
  <c r="P47" i="3" s="1"/>
  <c r="M47" i="3"/>
  <c r="M409" i="3"/>
  <c r="O409" i="3"/>
  <c r="P409" i="3" s="1"/>
  <c r="O418" i="3"/>
  <c r="P418" i="3" s="1"/>
  <c r="M418" i="3"/>
  <c r="O412" i="3"/>
  <c r="P412" i="3" s="1"/>
  <c r="M412" i="3"/>
  <c r="O443" i="3"/>
  <c r="P443" i="3" s="1"/>
  <c r="M443" i="3"/>
  <c r="M402" i="3"/>
  <c r="O402" i="3"/>
  <c r="P402" i="3" s="1"/>
  <c r="O384" i="3"/>
  <c r="P384" i="3" s="1"/>
  <c r="M384" i="3"/>
  <c r="O61" i="3"/>
  <c r="P61" i="3" s="1"/>
  <c r="M61" i="3"/>
  <c r="M246" i="3"/>
  <c r="O246" i="3"/>
  <c r="P246" i="3" s="1"/>
  <c r="O449" i="3"/>
  <c r="P449" i="3" s="1"/>
  <c r="M449" i="3"/>
  <c r="O52" i="3"/>
  <c r="P52" i="3" s="1"/>
  <c r="M52" i="3"/>
  <c r="M89" i="3"/>
  <c r="O89" i="3"/>
  <c r="P89" i="3" s="1"/>
  <c r="O79" i="3"/>
  <c r="P79" i="3" s="1"/>
  <c r="M79" i="3"/>
  <c r="M291" i="3"/>
  <c r="O291" i="3"/>
  <c r="P291" i="3" s="1"/>
  <c r="O116" i="3"/>
  <c r="P116" i="3" s="1"/>
  <c r="M116" i="3"/>
  <c r="O67" i="3"/>
  <c r="P67" i="3" s="1"/>
  <c r="M67" i="3"/>
  <c r="M407" i="3"/>
  <c r="O407" i="3"/>
  <c r="P407" i="3" s="1"/>
  <c r="M145" i="3"/>
  <c r="O145" i="3"/>
  <c r="P145" i="3" s="1"/>
  <c r="M278" i="3"/>
  <c r="O278" i="3"/>
  <c r="P278" i="3" s="1"/>
  <c r="O262" i="3"/>
  <c r="M262" i="3"/>
  <c r="O23" i="3"/>
  <c r="P23" i="3" s="1"/>
  <c r="M23" i="3"/>
  <c r="O102" i="3"/>
  <c r="P102" i="3" s="1"/>
  <c r="M102" i="3"/>
  <c r="O174" i="3"/>
  <c r="P174" i="3" s="1"/>
  <c r="M174" i="3"/>
  <c r="O280" i="3"/>
  <c r="P280" i="3" s="1"/>
  <c r="M280" i="3"/>
  <c r="O295" i="3"/>
  <c r="P295" i="3" s="1"/>
  <c r="M295" i="3"/>
  <c r="O65" i="3"/>
  <c r="P65" i="3" s="1"/>
  <c r="M65" i="3"/>
  <c r="O179" i="3"/>
  <c r="P179" i="3" s="1"/>
  <c r="M179" i="3"/>
  <c r="M238" i="3"/>
  <c r="O238" i="3"/>
  <c r="P238" i="3" s="1"/>
  <c r="O333" i="3"/>
  <c r="M333" i="3"/>
  <c r="O37" i="3"/>
  <c r="P37" i="3" s="1"/>
  <c r="M37" i="3"/>
  <c r="O164" i="3"/>
  <c r="P164" i="3" s="1"/>
  <c r="M164" i="3"/>
  <c r="O225" i="3"/>
  <c r="P225" i="3" s="1"/>
  <c r="M225" i="3"/>
  <c r="M305" i="3"/>
  <c r="O305" i="3"/>
  <c r="P305" i="3" s="1"/>
  <c r="O426" i="3"/>
  <c r="P426" i="3" s="1"/>
  <c r="M426" i="3"/>
  <c r="M21" i="3"/>
  <c r="O21" i="3"/>
  <c r="P21" i="3" s="1"/>
  <c r="M143" i="3"/>
  <c r="O143" i="3"/>
  <c r="P143" i="3" s="1"/>
  <c r="O221" i="3"/>
  <c r="P221" i="3" s="1"/>
  <c r="M221" i="3"/>
  <c r="O388" i="3"/>
  <c r="P388" i="3" s="1"/>
  <c r="M388" i="3"/>
  <c r="O433" i="3"/>
  <c r="P433" i="3" s="1"/>
  <c r="M433" i="3"/>
  <c r="O31" i="3"/>
  <c r="P31" i="3" s="1"/>
  <c r="M31" i="3"/>
  <c r="O129" i="3"/>
  <c r="P129" i="3" s="1"/>
  <c r="M129" i="3"/>
  <c r="O208" i="3"/>
  <c r="P208" i="3" s="1"/>
  <c r="M208" i="3"/>
  <c r="M224" i="3"/>
  <c r="O224" i="3"/>
  <c r="P224" i="3" s="1"/>
  <c r="O322" i="3"/>
  <c r="P322" i="3" s="1"/>
  <c r="M322" i="3"/>
  <c r="O469" i="3"/>
  <c r="P469" i="3" s="1"/>
  <c r="M469" i="3"/>
  <c r="M68" i="3"/>
  <c r="O68" i="3"/>
  <c r="P68" i="3" s="1"/>
  <c r="O192" i="3"/>
  <c r="P192" i="3" s="1"/>
  <c r="M192" i="3"/>
  <c r="M275" i="3"/>
  <c r="O275" i="3"/>
  <c r="P275" i="3" s="1"/>
  <c r="M382" i="3"/>
  <c r="O382" i="3"/>
  <c r="P382" i="3" s="1"/>
  <c r="O468" i="3"/>
  <c r="P468" i="3" s="1"/>
  <c r="M468" i="3"/>
  <c r="M414" i="3"/>
  <c r="O414" i="3"/>
  <c r="P414" i="3" s="1"/>
  <c r="O349" i="3"/>
  <c r="M349" i="3"/>
  <c r="M463" i="3"/>
  <c r="O463" i="3"/>
  <c r="P463" i="3" s="1"/>
  <c r="P333" i="3"/>
  <c r="M339" i="3"/>
  <c r="O339" i="3"/>
  <c r="P339" i="3" s="1"/>
  <c r="M480" i="3"/>
  <c r="O480" i="3"/>
  <c r="P480" i="3" s="1"/>
  <c r="M297" i="3"/>
  <c r="O297" i="3"/>
  <c r="P297" i="3" s="1"/>
  <c r="O385" i="3"/>
  <c r="P385" i="3" s="1"/>
  <c r="M385" i="3"/>
  <c r="M424" i="3"/>
  <c r="O424" i="3"/>
  <c r="P424" i="3" s="1"/>
  <c r="M44" i="3"/>
  <c r="N44" i="3"/>
  <c r="P44" i="3" s="1"/>
  <c r="M338" i="3"/>
  <c r="O338" i="3"/>
  <c r="P338" i="3" s="1"/>
  <c r="O466" i="3"/>
  <c r="P466" i="3" s="1"/>
  <c r="M466" i="3"/>
  <c r="O366" i="3"/>
  <c r="P366" i="3" s="1"/>
  <c r="M366" i="3"/>
  <c r="O459" i="3"/>
  <c r="P459" i="3" s="1"/>
  <c r="M459" i="3"/>
  <c r="M233" i="3"/>
  <c r="N233" i="3"/>
  <c r="P233" i="3" s="1"/>
  <c r="M64" i="3"/>
  <c r="O64" i="3"/>
  <c r="P64" i="3" s="1"/>
  <c r="O74" i="3"/>
  <c r="P74" i="3" s="1"/>
  <c r="M74" i="3"/>
  <c r="O159" i="3"/>
  <c r="P159" i="3" s="1"/>
  <c r="M159" i="3"/>
  <c r="O51" i="3"/>
  <c r="P51" i="3" s="1"/>
  <c r="M51" i="3"/>
  <c r="M294" i="3"/>
  <c r="O294" i="3"/>
  <c r="P294" i="3" s="1"/>
  <c r="M386" i="3"/>
  <c r="O386" i="3"/>
  <c r="P386" i="3" s="1"/>
  <c r="O352" i="3"/>
  <c r="P352" i="3" s="1"/>
  <c r="M352" i="3"/>
  <c r="O105" i="3"/>
  <c r="P105" i="3" s="1"/>
  <c r="M105" i="3"/>
  <c r="O264" i="3"/>
  <c r="P264" i="3" s="1"/>
  <c r="M264" i="3"/>
  <c r="M235" i="3"/>
  <c r="O235" i="3"/>
  <c r="P235" i="3" s="1"/>
  <c r="M445" i="3"/>
  <c r="O445" i="3"/>
  <c r="P445" i="3" s="1"/>
  <c r="O451" i="3"/>
  <c r="P451" i="3" s="1"/>
  <c r="M451" i="3"/>
  <c r="M50" i="3"/>
  <c r="O50" i="3"/>
  <c r="P50" i="3" s="1"/>
  <c r="O106" i="3"/>
  <c r="P106" i="3" s="1"/>
  <c r="M106" i="3"/>
  <c r="M320" i="3"/>
  <c r="O320" i="3"/>
  <c r="P320" i="3" s="1"/>
  <c r="O173" i="3"/>
  <c r="P173" i="3" s="1"/>
  <c r="M173" i="3"/>
  <c r="O123" i="3"/>
  <c r="P123" i="3" s="1"/>
  <c r="M123" i="3"/>
  <c r="M406" i="3"/>
  <c r="O406" i="3"/>
  <c r="P406" i="3" s="1"/>
  <c r="O33" i="3"/>
  <c r="P33" i="3" s="1"/>
  <c r="M33" i="3"/>
  <c r="M263" i="3"/>
  <c r="O263" i="3"/>
  <c r="P263" i="3" s="1"/>
  <c r="M395" i="3"/>
  <c r="O395" i="3"/>
  <c r="P395" i="3" s="1"/>
  <c r="O35" i="3"/>
  <c r="P35" i="3" s="1"/>
  <c r="M35" i="3"/>
  <c r="M110" i="3"/>
  <c r="O110" i="3"/>
  <c r="P110" i="3" s="1"/>
  <c r="O185" i="3"/>
  <c r="P185" i="3" s="1"/>
  <c r="M185" i="3"/>
  <c r="O277" i="3"/>
  <c r="P277" i="3" s="1"/>
  <c r="M277" i="3"/>
  <c r="M405" i="3"/>
  <c r="O405" i="3"/>
  <c r="P405" i="3" s="1"/>
  <c r="O76" i="3"/>
  <c r="P76" i="3" s="1"/>
  <c r="M76" i="3"/>
  <c r="M195" i="3"/>
  <c r="O195" i="3"/>
  <c r="P195" i="3" s="1"/>
  <c r="M218" i="3"/>
  <c r="O218" i="3"/>
  <c r="P218" i="3" s="1"/>
  <c r="O458" i="3"/>
  <c r="P458" i="3" s="1"/>
  <c r="M458" i="3"/>
  <c r="M48" i="3"/>
  <c r="O48" i="3"/>
  <c r="P48" i="3" s="1"/>
  <c r="O177" i="3"/>
  <c r="P177" i="3" s="1"/>
  <c r="M177" i="3"/>
  <c r="M222" i="3"/>
  <c r="O222" i="3"/>
  <c r="P222" i="3" s="1"/>
  <c r="O299" i="3"/>
  <c r="P299" i="3" s="1"/>
  <c r="M299" i="3"/>
  <c r="O57" i="3"/>
  <c r="P57" i="3" s="1"/>
  <c r="M57" i="3"/>
  <c r="O180" i="3"/>
  <c r="P180" i="3" s="1"/>
  <c r="M180" i="3"/>
  <c r="O217" i="3"/>
  <c r="P217" i="3" s="1"/>
  <c r="M217" i="3"/>
  <c r="O361" i="3"/>
  <c r="P361" i="3" s="1"/>
  <c r="M361" i="3"/>
  <c r="O40" i="3"/>
  <c r="P40" i="3" s="1"/>
  <c r="M40" i="3"/>
  <c r="O142" i="3"/>
  <c r="P142" i="3" s="1"/>
  <c r="M142" i="3"/>
  <c r="O215" i="3"/>
  <c r="P215" i="3" s="1"/>
  <c r="M215" i="3"/>
  <c r="O220" i="3"/>
  <c r="P220" i="3" s="1"/>
  <c r="M220" i="3"/>
  <c r="M316" i="3"/>
  <c r="O316" i="3"/>
  <c r="P316" i="3" s="1"/>
  <c r="O100" i="3"/>
  <c r="P100" i="3" s="1"/>
  <c r="M100" i="3"/>
  <c r="M211" i="3"/>
  <c r="O211" i="3"/>
  <c r="P211" i="3" s="1"/>
  <c r="O272" i="3"/>
  <c r="P272" i="3" s="1"/>
  <c r="M272" i="3"/>
  <c r="O377" i="3"/>
  <c r="P377" i="3" s="1"/>
  <c r="M377" i="3"/>
  <c r="O479" i="3"/>
  <c r="P479" i="3" s="1"/>
  <c r="M479" i="3"/>
  <c r="O404" i="3"/>
  <c r="P404" i="3" s="1"/>
  <c r="M404" i="3"/>
  <c r="O344" i="3"/>
  <c r="P344" i="3" s="1"/>
  <c r="M344" i="3"/>
  <c r="O416" i="3"/>
  <c r="P416" i="3" s="1"/>
  <c r="M416" i="3"/>
  <c r="M323" i="3"/>
  <c r="O323" i="3"/>
  <c r="P323" i="3" s="1"/>
  <c r="O368" i="3"/>
  <c r="P368" i="3" s="1"/>
  <c r="M368" i="3"/>
  <c r="O444" i="3"/>
  <c r="P444" i="3" s="1"/>
  <c r="M444" i="3"/>
  <c r="M420" i="3"/>
  <c r="O420" i="3"/>
  <c r="P420" i="3" s="1"/>
  <c r="M473" i="3"/>
  <c r="O473" i="3"/>
  <c r="P473" i="3" s="1"/>
  <c r="M362" i="3"/>
  <c r="O362" i="3"/>
  <c r="P362" i="3" s="1"/>
  <c r="O462" i="3"/>
  <c r="P462" i="3" s="1"/>
  <c r="M462" i="3"/>
  <c r="O109" i="3"/>
  <c r="P109" i="3" s="1"/>
  <c r="M109" i="3"/>
  <c r="M371" i="3"/>
  <c r="O371" i="3"/>
  <c r="P371" i="3" s="1"/>
  <c r="M46" i="3"/>
  <c r="O46" i="3"/>
  <c r="P46" i="3" s="1"/>
  <c r="O365" i="3"/>
  <c r="M365" i="3"/>
  <c r="M101" i="3"/>
  <c r="O101" i="3"/>
  <c r="P101" i="3" s="1"/>
  <c r="M194" i="3"/>
  <c r="O194" i="3"/>
  <c r="P194" i="3" s="1"/>
  <c r="O408" i="3"/>
  <c r="P408" i="3" s="1"/>
  <c r="M408" i="3"/>
  <c r="P373" i="3"/>
  <c r="M374" i="3"/>
  <c r="O374" i="3"/>
  <c r="P374" i="3" s="1"/>
  <c r="P262" i="3"/>
  <c r="M475" i="3"/>
  <c r="O475" i="3"/>
  <c r="P475" i="3" s="1"/>
  <c r="P245" i="3"/>
  <c r="O284" i="3"/>
  <c r="P284" i="3" s="1"/>
  <c r="M284" i="3"/>
  <c r="M251" i="3"/>
  <c r="O251" i="3"/>
  <c r="P251" i="3" s="1"/>
  <c r="M55" i="3"/>
  <c r="O55" i="3"/>
  <c r="P55" i="3" s="1"/>
  <c r="O45" i="3"/>
  <c r="P45" i="3" s="1"/>
  <c r="M45" i="3"/>
  <c r="O312" i="3"/>
  <c r="P312" i="3" s="1"/>
  <c r="M312" i="3"/>
  <c r="M279" i="3"/>
  <c r="O279" i="3"/>
  <c r="P279" i="3" s="1"/>
  <c r="O75" i="3"/>
  <c r="P75" i="3" s="1"/>
  <c r="M75" i="3"/>
  <c r="M85" i="3"/>
  <c r="O85" i="3"/>
  <c r="P85" i="3" s="1"/>
  <c r="M375" i="3"/>
  <c r="O375" i="3"/>
  <c r="P375" i="3" s="1"/>
  <c r="O381" i="3"/>
  <c r="P381" i="3" s="1"/>
  <c r="M381" i="3"/>
  <c r="M330" i="3"/>
  <c r="O330" i="3"/>
  <c r="P330" i="3" s="1"/>
  <c r="M452" i="3"/>
  <c r="O452" i="3"/>
  <c r="P452" i="3" s="1"/>
  <c r="O161" i="3"/>
  <c r="P161" i="3" s="1"/>
  <c r="M161" i="3"/>
  <c r="O78" i="3"/>
  <c r="P78" i="3" s="1"/>
  <c r="M78" i="3"/>
  <c r="M383" i="3"/>
  <c r="O383" i="3"/>
  <c r="P383" i="3" s="1"/>
  <c r="M191" i="3"/>
  <c r="O191" i="3"/>
  <c r="P191" i="3" s="1"/>
  <c r="M175" i="3"/>
  <c r="O175" i="3"/>
  <c r="P175" i="3" s="1"/>
  <c r="M355" i="3"/>
  <c r="O355" i="3"/>
  <c r="P355" i="3" s="1"/>
  <c r="O39" i="3"/>
  <c r="P39" i="3" s="1"/>
  <c r="M39" i="3"/>
  <c r="M296" i="3"/>
  <c r="O296" i="3"/>
  <c r="P296" i="3" s="1"/>
  <c r="M419" i="3"/>
  <c r="O419" i="3"/>
  <c r="P419" i="3" s="1"/>
  <c r="M49" i="3"/>
  <c r="O49" i="3"/>
  <c r="P49" i="3" s="1"/>
  <c r="O117" i="3"/>
  <c r="P117" i="3" s="1"/>
  <c r="M117" i="3"/>
  <c r="O198" i="3"/>
  <c r="P198" i="3" s="1"/>
  <c r="M198" i="3"/>
  <c r="M274" i="3"/>
  <c r="O274" i="3"/>
  <c r="P274" i="3" s="1"/>
  <c r="M394" i="3"/>
  <c r="O394" i="3"/>
  <c r="P394" i="3" s="1"/>
  <c r="M91" i="3"/>
  <c r="O91" i="3"/>
  <c r="P91" i="3" s="1"/>
  <c r="M209" i="3"/>
  <c r="O209" i="3"/>
  <c r="P209" i="3" s="1"/>
  <c r="M270" i="3"/>
  <c r="O270" i="3"/>
  <c r="P270" i="3" s="1"/>
  <c r="O188" i="3"/>
  <c r="P188" i="3" s="1"/>
  <c r="M188" i="3"/>
  <c r="M290" i="3"/>
  <c r="O290" i="3"/>
  <c r="P290" i="3" s="1"/>
  <c r="O318" i="3"/>
  <c r="P318" i="3" s="1"/>
  <c r="M318" i="3"/>
  <c r="M70" i="3"/>
  <c r="O70" i="3"/>
  <c r="P70" i="3" s="1"/>
  <c r="O212" i="3"/>
  <c r="P212" i="3" s="1"/>
  <c r="M212" i="3"/>
  <c r="O282" i="3"/>
  <c r="P282" i="3" s="1"/>
  <c r="M282" i="3"/>
  <c r="M346" i="3"/>
  <c r="O346" i="3"/>
  <c r="P346" i="3" s="1"/>
  <c r="O69" i="3"/>
  <c r="P69" i="3" s="1"/>
  <c r="M69" i="3"/>
  <c r="O151" i="3"/>
  <c r="P151" i="3" s="1"/>
  <c r="M151" i="3"/>
  <c r="O252" i="3"/>
  <c r="P252" i="3" s="1"/>
  <c r="M252" i="3"/>
  <c r="M286" i="3"/>
  <c r="O286" i="3"/>
  <c r="P286" i="3" s="1"/>
  <c r="M410" i="3"/>
  <c r="O410" i="3"/>
  <c r="P410" i="3" s="1"/>
  <c r="O25" i="3"/>
  <c r="P25" i="3" s="1"/>
  <c r="M25" i="3"/>
  <c r="O107" i="3"/>
  <c r="P107" i="3" s="1"/>
  <c r="M107" i="3"/>
  <c r="O207" i="3"/>
  <c r="P207" i="3" s="1"/>
  <c r="M207" i="3"/>
  <c r="O303" i="3"/>
  <c r="P303" i="3" s="1"/>
  <c r="M303" i="3"/>
  <c r="O364" i="3"/>
  <c r="P364" i="3" s="1"/>
  <c r="M364" i="3"/>
  <c r="O399" i="3"/>
  <c r="P399" i="3" s="1"/>
  <c r="M399" i="3"/>
  <c r="O336" i="3"/>
  <c r="P336" i="3" s="1"/>
  <c r="M336" i="3"/>
  <c r="P237" i="3"/>
  <c r="O429" i="3"/>
  <c r="P429" i="3" s="1"/>
  <c r="M429" i="3"/>
  <c r="M319" i="3"/>
  <c r="O319" i="3"/>
  <c r="P319" i="3" s="1"/>
  <c r="M358" i="3"/>
  <c r="O358" i="3"/>
  <c r="P358" i="3" s="1"/>
  <c r="O454" i="3"/>
  <c r="P454" i="3" s="1"/>
  <c r="M454" i="3"/>
  <c r="M379" i="3"/>
  <c r="O379" i="3"/>
  <c r="P379" i="3" s="1"/>
  <c r="O423" i="3"/>
  <c r="P423" i="3" s="1"/>
  <c r="M423" i="3"/>
  <c r="M313" i="3"/>
  <c r="O313" i="3"/>
  <c r="P313" i="3" s="1"/>
  <c r="O356" i="3"/>
  <c r="P356" i="3" s="1"/>
  <c r="M356" i="3"/>
  <c r="M465" i="3"/>
  <c r="O465" i="3"/>
  <c r="P465" i="3" s="1"/>
  <c r="P285" i="3"/>
  <c r="O9" i="3"/>
  <c r="I9" i="5"/>
  <c r="Q269" i="3" l="1"/>
  <c r="E17" i="2"/>
  <c r="O485" i="3"/>
  <c r="Q67" i="3" s="1"/>
  <c r="Q20" i="3"/>
  <c r="Q233" i="3"/>
  <c r="Q270" i="3"/>
  <c r="Q405" i="3"/>
  <c r="Q288" i="3"/>
  <c r="Q132" i="3"/>
  <c r="Q253" i="3"/>
  <c r="Q331" i="3"/>
  <c r="Q131" i="3"/>
  <c r="Q421" i="3"/>
  <c r="Q98" i="3"/>
  <c r="Q200" i="3"/>
  <c r="Q161" i="3"/>
  <c r="Q375" i="3"/>
  <c r="E35" i="2"/>
  <c r="Q462" i="3"/>
  <c r="Q220" i="3"/>
  <c r="Q361" i="3"/>
  <c r="Q458" i="3"/>
  <c r="Q35" i="3"/>
  <c r="Q339" i="3"/>
  <c r="Q192" i="3"/>
  <c r="Q164" i="3"/>
  <c r="Q179" i="3"/>
  <c r="E22" i="2"/>
  <c r="Q384" i="3"/>
  <c r="Q418" i="3"/>
  <c r="Q248" i="3"/>
  <c r="Q260" i="3"/>
  <c r="Q92" i="3"/>
  <c r="Q96" i="3"/>
  <c r="Q148" i="3"/>
  <c r="Q223" i="3"/>
  <c r="Q254" i="3"/>
  <c r="Q219" i="3"/>
  <c r="Q342" i="3"/>
  <c r="Q354" i="3"/>
  <c r="E33" i="2"/>
  <c r="Q341" i="3"/>
  <c r="Q274" i="3"/>
  <c r="Q455" i="3"/>
  <c r="Q71" i="3"/>
  <c r="Q467" i="3"/>
  <c r="E27" i="2"/>
  <c r="Q236" i="3"/>
  <c r="Q206" i="3"/>
  <c r="Q356" i="3"/>
  <c r="E34" i="2"/>
  <c r="Q286" i="3"/>
  <c r="Q346" i="3"/>
  <c r="Q452" i="3"/>
  <c r="Q312" i="3"/>
  <c r="Q46" i="3"/>
  <c r="Q362" i="3"/>
  <c r="Q395" i="3"/>
  <c r="Q50" i="3"/>
  <c r="Q64" i="3"/>
  <c r="Q366" i="3"/>
  <c r="Q402" i="3"/>
  <c r="Q409" i="3"/>
  <c r="Q401" i="3"/>
  <c r="Q347" i="3"/>
  <c r="Q310" i="3"/>
  <c r="Q77" i="3"/>
  <c r="Q72" i="3"/>
  <c r="Q335" i="3"/>
  <c r="Q130" i="3"/>
  <c r="Q122" i="3"/>
  <c r="Q28" i="3"/>
  <c r="Q135" i="3"/>
  <c r="Q240" i="3"/>
  <c r="Q276" i="3"/>
  <c r="Q152" i="3"/>
  <c r="Q239" i="3"/>
  <c r="Q207" i="3"/>
  <c r="Q198" i="3"/>
  <c r="Q208" i="3"/>
  <c r="Q65" i="3"/>
  <c r="E36" i="2"/>
  <c r="Q378" i="3"/>
  <c r="Q397" i="3"/>
  <c r="Q234" i="3"/>
  <c r="Q365" i="3"/>
  <c r="Q45" i="3"/>
  <c r="Q475" i="3"/>
  <c r="Q371" i="3"/>
  <c r="Q473" i="3"/>
  <c r="Q466" i="3"/>
  <c r="Q385" i="3"/>
  <c r="Q382" i="3"/>
  <c r="Q305" i="3"/>
  <c r="Q428" i="3"/>
  <c r="Q431" i="3"/>
  <c r="Q230" i="3"/>
  <c r="Q242" i="3"/>
  <c r="Q266" i="3"/>
  <c r="Q441" i="3"/>
  <c r="E26" i="2"/>
  <c r="Q167" i="3"/>
  <c r="Q439" i="3"/>
  <c r="Q400" i="3"/>
  <c r="Q176" i="3"/>
  <c r="Q241" i="3"/>
  <c r="E23" i="2"/>
  <c r="E32" i="2"/>
  <c r="Q326" i="3"/>
  <c r="Q70" i="3"/>
  <c r="Q235" i="3"/>
  <c r="Q404" i="3"/>
  <c r="Q264" i="3"/>
  <c r="Q388" i="3"/>
  <c r="Q102" i="3"/>
  <c r="Q456" i="3"/>
  <c r="Q319" i="3"/>
  <c r="Q282" i="3"/>
  <c r="Q117" i="3"/>
  <c r="E19" i="2"/>
  <c r="Q55" i="3"/>
  <c r="E37" i="2"/>
  <c r="Q100" i="3"/>
  <c r="Q142" i="3"/>
  <c r="E29" i="2"/>
  <c r="Q185" i="3"/>
  <c r="E28" i="2"/>
  <c r="Q451" i="3"/>
  <c r="E21" i="2"/>
  <c r="Q297" i="3"/>
  <c r="Q469" i="3"/>
  <c r="Q221" i="3"/>
  <c r="Q295" i="3"/>
  <c r="Q47" i="3"/>
  <c r="Q196" i="3"/>
  <c r="Q193" i="3"/>
  <c r="Q300" i="3"/>
  <c r="Q210" i="3"/>
  <c r="Q446" i="3"/>
  <c r="Q114" i="3"/>
  <c r="Q351" i="3"/>
  <c r="Q367" i="3"/>
  <c r="Q199" i="3"/>
  <c r="Q390" i="3"/>
  <c r="Q125" i="3"/>
  <c r="Q38" i="3"/>
  <c r="Q271" i="3"/>
  <c r="Q329" i="3"/>
  <c r="Q29" i="3"/>
  <c r="Q318" i="3"/>
  <c r="Q85" i="3"/>
  <c r="E18" i="2"/>
  <c r="Q37" i="3"/>
  <c r="Q182" i="3"/>
  <c r="Q437" i="3"/>
  <c r="Q252" i="3"/>
  <c r="Q285" i="3"/>
  <c r="Q355" i="3"/>
  <c r="Q75" i="3"/>
  <c r="Q101" i="3"/>
  <c r="Q420" i="3"/>
  <c r="Q320" i="3"/>
  <c r="Q445" i="3"/>
  <c r="Q143" i="3"/>
  <c r="Q238" i="3"/>
  <c r="Q447" i="3"/>
  <c r="Q283" i="3"/>
  <c r="Q90" i="3"/>
  <c r="Q369" i="3"/>
  <c r="Q432" i="3"/>
  <c r="Q82" i="3"/>
  <c r="E20" i="2"/>
  <c r="Q88" i="3"/>
  <c r="Q357" i="3"/>
  <c r="Q95" i="3"/>
  <c r="Q128" i="3"/>
  <c r="Q63" i="3"/>
  <c r="Q410" i="3"/>
  <c r="Q175" i="3"/>
  <c r="Q408" i="3"/>
  <c r="E31" i="2"/>
  <c r="Q215" i="3"/>
  <c r="Q123" i="3"/>
  <c r="Q468" i="3"/>
  <c r="Q349" i="3"/>
  <c r="Q136" i="3"/>
  <c r="Q227" i="3"/>
  <c r="Q249" i="3"/>
  <c r="Q465" i="3"/>
  <c r="E24" i="2"/>
  <c r="Q151" i="3"/>
  <c r="Q212" i="3"/>
  <c r="E30" i="2"/>
  <c r="Q188" i="3"/>
  <c r="Q78" i="3"/>
  <c r="Q109" i="3"/>
  <c r="Q416" i="3"/>
  <c r="Q377" i="3"/>
  <c r="Q40" i="3"/>
  <c r="Q57" i="3"/>
  <c r="Q159" i="3"/>
  <c r="Q44" i="3"/>
  <c r="Q480" i="3"/>
  <c r="Q322" i="3"/>
  <c r="Q31" i="3"/>
  <c r="Q412" i="3"/>
  <c r="Q244" i="3"/>
  <c r="Q97" i="3"/>
  <c r="Q391" i="3"/>
  <c r="Q457" i="3"/>
  <c r="E25" i="2"/>
  <c r="Q158" i="3"/>
  <c r="Q144" i="3"/>
  <c r="Q256" i="3"/>
  <c r="Q398" i="3"/>
  <c r="Q268" i="3"/>
  <c r="Q298" i="3"/>
  <c r="Q265" i="3"/>
  <c r="Q392" i="3"/>
  <c r="Q281" i="3"/>
  <c r="Q137" i="3"/>
  <c r="Q413" i="3"/>
  <c r="Q59" i="3"/>
  <c r="Q24" i="3"/>
  <c r="Q201" i="3"/>
  <c r="Q350" i="3"/>
  <c r="L14" i="10" l="1"/>
  <c r="L30" i="10"/>
  <c r="L48" i="10"/>
  <c r="L38" i="10"/>
  <c r="F30" i="2"/>
  <c r="L18" i="10"/>
  <c r="Q267" i="3"/>
  <c r="Q275" i="3"/>
  <c r="Q262" i="3"/>
  <c r="Q399" i="3"/>
  <c r="Q368" i="3"/>
  <c r="Q425" i="3"/>
  <c r="Q411" i="3"/>
  <c r="Q328" i="3"/>
  <c r="Q343" i="3"/>
  <c r="Q129" i="3"/>
  <c r="Q173" i="3"/>
  <c r="Q479" i="3"/>
  <c r="Q107" i="3"/>
  <c r="Q333" i="3"/>
  <c r="Q307" i="3"/>
  <c r="Q43" i="3"/>
  <c r="Q27" i="3"/>
  <c r="Q56" i="3"/>
  <c r="Q463" i="3"/>
  <c r="Q194" i="3"/>
  <c r="Q60" i="3"/>
  <c r="Q217" i="3"/>
  <c r="Q293" i="3"/>
  <c r="Q226" i="3"/>
  <c r="Q440" i="3"/>
  <c r="Q247" i="3"/>
  <c r="Q294" i="3"/>
  <c r="Q284" i="3"/>
  <c r="Q454" i="3"/>
  <c r="Q170" i="3"/>
  <c r="Q414" i="3"/>
  <c r="Q321" i="3"/>
  <c r="Q306" i="3"/>
  <c r="Q112" i="3"/>
  <c r="Q433" i="3"/>
  <c r="Q299" i="3"/>
  <c r="Q373" i="3"/>
  <c r="Q337" i="3"/>
  <c r="Q427" i="3"/>
  <c r="Q429" i="3"/>
  <c r="L12" i="10"/>
  <c r="E39" i="2"/>
  <c r="F27" i="2" s="1"/>
  <c r="L20" i="10"/>
  <c r="F21" i="2"/>
  <c r="L32" i="10"/>
  <c r="Q229" i="3"/>
  <c r="Q363" i="3"/>
  <c r="Q308" i="3"/>
  <c r="L28" i="10"/>
  <c r="Q61" i="3"/>
  <c r="Q352" i="3"/>
  <c r="Q374" i="3"/>
  <c r="L26" i="10"/>
  <c r="Q190" i="3"/>
  <c r="Q358" i="3"/>
  <c r="Q360" i="3"/>
  <c r="Q370" i="3"/>
  <c r="Q387" i="3"/>
  <c r="Q110" i="3"/>
  <c r="Q49" i="3"/>
  <c r="Q204" i="3"/>
  <c r="Q313" i="3"/>
  <c r="Q113" i="3"/>
  <c r="Q42" i="3"/>
  <c r="Q460" i="3"/>
  <c r="Q443" i="3"/>
  <c r="Q338" i="3"/>
  <c r="L36" i="10"/>
  <c r="L16" i="10"/>
  <c r="Q255" i="3"/>
  <c r="Q245" i="3"/>
  <c r="Q153" i="3"/>
  <c r="Q438" i="3"/>
  <c r="Q327" i="3"/>
  <c r="Q80" i="3"/>
  <c r="Q263" i="3"/>
  <c r="Q383" i="3"/>
  <c r="Q380" i="3"/>
  <c r="Q302" i="3"/>
  <c r="Q340" i="3"/>
  <c r="Q393" i="3"/>
  <c r="Q317" i="3"/>
  <c r="Q291" i="3"/>
  <c r="Q218" i="3"/>
  <c r="Q191" i="3"/>
  <c r="Q376" i="3"/>
  <c r="Q287" i="3"/>
  <c r="Q133" i="3"/>
  <c r="Q309" i="3"/>
  <c r="Q162" i="3"/>
  <c r="Q116" i="3"/>
  <c r="Q424" i="3"/>
  <c r="Q272" i="3"/>
  <c r="Q69" i="3"/>
  <c r="Q345" i="3"/>
  <c r="Q304" i="3"/>
  <c r="Q442" i="3"/>
  <c r="Q52" i="3"/>
  <c r="L52" i="10"/>
  <c r="L46" i="10"/>
  <c r="F34" i="2"/>
  <c r="Q289" i="3"/>
  <c r="Q280" i="3"/>
  <c r="Q33" i="3"/>
  <c r="Q251" i="3"/>
  <c r="Q364" i="3"/>
  <c r="Q449" i="3"/>
  <c r="Q224" i="3"/>
  <c r="Q372" i="3"/>
  <c r="Q202" i="3"/>
  <c r="Q203" i="3"/>
  <c r="Q48" i="3"/>
  <c r="Q394" i="3"/>
  <c r="Q93" i="3"/>
  <c r="Q406" i="3"/>
  <c r="Q147" i="3"/>
  <c r="Q155" i="3"/>
  <c r="Q81" i="3"/>
  <c r="Q79" i="3"/>
  <c r="Q51" i="3"/>
  <c r="Q177" i="3"/>
  <c r="Q330" i="3"/>
  <c r="Q389" i="3"/>
  <c r="Q336" i="3"/>
  <c r="Q121" i="3"/>
  <c r="Q464" i="3"/>
  <c r="Q183" i="3"/>
  <c r="Q246" i="3"/>
  <c r="Q195" i="3"/>
  <c r="Q91" i="3"/>
  <c r="Q472" i="3"/>
  <c r="Q459" i="3"/>
  <c r="Q396" i="3"/>
  <c r="Q348" i="3"/>
  <c r="Q228" i="3"/>
  <c r="Q145" i="3"/>
  <c r="Q222" i="3"/>
  <c r="Q296" i="3"/>
  <c r="Q334" i="3"/>
  <c r="Q243" i="3"/>
  <c r="Q436" i="3"/>
  <c r="Q146" i="3"/>
  <c r="Q22" i="3"/>
  <c r="L22" i="10"/>
  <c r="F22" i="2"/>
  <c r="Q74" i="3"/>
  <c r="Q344" i="3"/>
  <c r="Q303" i="3"/>
  <c r="Q250" i="3"/>
  <c r="Q359" i="3"/>
  <c r="Q277" i="3"/>
  <c r="Q25" i="3"/>
  <c r="L40" i="10"/>
  <c r="F31" i="2"/>
  <c r="L34" i="10"/>
  <c r="F28" i="2"/>
  <c r="L42" i="10"/>
  <c r="F32" i="2"/>
  <c r="Q26" i="3"/>
  <c r="Q259" i="3"/>
  <c r="Q140" i="3"/>
  <c r="Q205" i="3"/>
  <c r="Q216" i="3"/>
  <c r="Q353" i="3"/>
  <c r="Q124" i="3"/>
  <c r="Q225" i="3"/>
  <c r="Q76" i="3"/>
  <c r="Q279" i="3"/>
  <c r="Q379" i="3"/>
  <c r="Q426" i="3"/>
  <c r="Q386" i="3"/>
  <c r="Q430" i="3"/>
  <c r="Q261" i="3"/>
  <c r="Q89" i="3"/>
  <c r="Q316" i="3"/>
  <c r="Q423" i="3"/>
  <c r="Q301" i="3"/>
  <c r="Q381" i="3"/>
  <c r="Q41" i="3"/>
  <c r="Q58" i="3"/>
  <c r="Q231" i="3"/>
  <c r="Q23" i="3"/>
  <c r="Q105" i="3"/>
  <c r="Q180" i="3"/>
  <c r="Q39" i="3"/>
  <c r="Q450" i="3"/>
  <c r="Q21" i="3"/>
  <c r="L24" i="10"/>
  <c r="F23" i="2"/>
  <c r="Q273" i="3"/>
  <c r="Q66" i="3"/>
  <c r="Q407" i="3"/>
  <c r="Q323" i="3"/>
  <c r="Q290" i="3"/>
  <c r="L50" i="10"/>
  <c r="F36" i="2"/>
  <c r="Q419" i="3"/>
  <c r="Q83" i="3"/>
  <c r="Q417" i="3"/>
  <c r="Q315" i="3"/>
  <c r="Q68" i="3"/>
  <c r="Q211" i="3"/>
  <c r="Q209" i="3"/>
  <c r="Q314" i="3"/>
  <c r="Q258" i="3"/>
  <c r="L44" i="10"/>
  <c r="F33" i="2"/>
  <c r="Q403" i="3"/>
  <c r="Q332" i="3"/>
  <c r="Q174" i="3"/>
  <c r="Q106" i="3"/>
  <c r="Q444" i="3"/>
  <c r="Q237" i="3"/>
  <c r="Q232" i="3"/>
  <c r="Q278" i="3"/>
  <c r="Q477" i="3"/>
  <c r="D38" i="10" l="1"/>
  <c r="K38" i="10"/>
  <c r="C38" i="10"/>
  <c r="I38" i="10"/>
  <c r="J38" i="10"/>
  <c r="G38" i="10"/>
  <c r="F38" i="10"/>
  <c r="E38" i="10"/>
  <c r="H38" i="10"/>
  <c r="J42" i="10"/>
  <c r="F42" i="10"/>
  <c r="I42" i="10"/>
  <c r="H42" i="10"/>
  <c r="G42" i="10"/>
  <c r="E42" i="10"/>
  <c r="D42" i="10"/>
  <c r="K42" i="10"/>
  <c r="C42" i="10"/>
  <c r="F25" i="2"/>
  <c r="L21" i="10"/>
  <c r="E20" i="10"/>
  <c r="J20" i="10"/>
  <c r="D20" i="10"/>
  <c r="K20" i="10"/>
  <c r="C20" i="10"/>
  <c r="G20" i="10"/>
  <c r="I20" i="10"/>
  <c r="H20" i="10"/>
  <c r="F20" i="10"/>
  <c r="F35" i="2"/>
  <c r="K24" i="10"/>
  <c r="C24" i="10"/>
  <c r="G24" i="10"/>
  <c r="J24" i="10"/>
  <c r="I24" i="10"/>
  <c r="F24" i="10"/>
  <c r="L25" i="10"/>
  <c r="D24" i="10"/>
  <c r="H24" i="10"/>
  <c r="E24" i="10"/>
  <c r="H46" i="10"/>
  <c r="G46" i="10"/>
  <c r="E46" i="10"/>
  <c r="F46" i="10"/>
  <c r="D46" i="10"/>
  <c r="K46" i="10"/>
  <c r="C46" i="10"/>
  <c r="J46" i="10"/>
  <c r="I46" i="10"/>
  <c r="F19" i="2"/>
  <c r="I28" i="10"/>
  <c r="L29" i="10"/>
  <c r="H28" i="10"/>
  <c r="F28" i="10"/>
  <c r="G28" i="10"/>
  <c r="E28" i="10"/>
  <c r="D28" i="10"/>
  <c r="K28" i="10"/>
  <c r="C28" i="10"/>
  <c r="J28" i="10"/>
  <c r="F17" i="2"/>
  <c r="G48" i="10"/>
  <c r="F48" i="10"/>
  <c r="C48" i="10"/>
  <c r="E48" i="10"/>
  <c r="D48" i="10"/>
  <c r="K48" i="10"/>
  <c r="J48" i="10"/>
  <c r="I48" i="10"/>
  <c r="H48" i="10"/>
  <c r="G16" i="10"/>
  <c r="F16" i="10"/>
  <c r="K16" i="10"/>
  <c r="L17" i="10"/>
  <c r="E16" i="10"/>
  <c r="D16" i="10"/>
  <c r="I16" i="10"/>
  <c r="J16" i="10"/>
  <c r="H16" i="10"/>
  <c r="C16" i="10"/>
  <c r="F26" i="2"/>
  <c r="F34" i="10"/>
  <c r="L35" i="10"/>
  <c r="E34" i="10"/>
  <c r="K34" i="10"/>
  <c r="D34" i="10"/>
  <c r="C34" i="10"/>
  <c r="J34" i="10"/>
  <c r="I34" i="10"/>
  <c r="H34" i="10"/>
  <c r="G34" i="10"/>
  <c r="L53" i="10"/>
  <c r="E52" i="10"/>
  <c r="I52" i="10"/>
  <c r="D52" i="10"/>
  <c r="J52" i="10"/>
  <c r="K52" i="10"/>
  <c r="C52" i="10"/>
  <c r="H52" i="10"/>
  <c r="G52" i="10"/>
  <c r="F52" i="10"/>
  <c r="F29" i="2"/>
  <c r="F24" i="2"/>
  <c r="K12" i="10"/>
  <c r="I12" i="10"/>
  <c r="L13" i="10"/>
  <c r="E12" i="10"/>
  <c r="F12" i="10"/>
  <c r="H12" i="10"/>
  <c r="J12" i="10"/>
  <c r="G12" i="10"/>
  <c r="L54" i="10"/>
  <c r="L56" i="10" s="1"/>
  <c r="C12" i="10"/>
  <c r="H30" i="10"/>
  <c r="L31" i="10"/>
  <c r="E30" i="10"/>
  <c r="G30" i="10"/>
  <c r="F30" i="10"/>
  <c r="K30" i="10"/>
  <c r="C30" i="10"/>
  <c r="J30" i="10"/>
  <c r="I30" i="10"/>
  <c r="D30" i="10"/>
  <c r="F50" i="10"/>
  <c r="C50" i="10"/>
  <c r="E50" i="10"/>
  <c r="J50" i="10"/>
  <c r="D50" i="10"/>
  <c r="I50" i="10"/>
  <c r="H50" i="10"/>
  <c r="G50" i="10"/>
  <c r="K50" i="10"/>
  <c r="K40" i="10"/>
  <c r="C40" i="10"/>
  <c r="H40" i="10"/>
  <c r="J40" i="10"/>
  <c r="I40" i="10"/>
  <c r="G40" i="10"/>
  <c r="F40" i="10"/>
  <c r="E40" i="10"/>
  <c r="D40" i="10"/>
  <c r="L37" i="10"/>
  <c r="E36" i="10"/>
  <c r="D36" i="10"/>
  <c r="I36" i="10"/>
  <c r="K36" i="10"/>
  <c r="C36" i="10"/>
  <c r="H36" i="10"/>
  <c r="G36" i="10"/>
  <c r="F36" i="10"/>
  <c r="J36" i="10"/>
  <c r="J26" i="10"/>
  <c r="I26" i="10"/>
  <c r="F26" i="10"/>
  <c r="H26" i="10"/>
  <c r="G26" i="10"/>
  <c r="L27" i="10"/>
  <c r="E26" i="10"/>
  <c r="D26" i="10"/>
  <c r="K26" i="10"/>
  <c r="C26" i="10"/>
  <c r="F20" i="2"/>
  <c r="F18" i="2"/>
  <c r="G32" i="10"/>
  <c r="K32" i="10"/>
  <c r="F32" i="10"/>
  <c r="C32" i="10"/>
  <c r="L33" i="10"/>
  <c r="E32" i="10"/>
  <c r="J32" i="10"/>
  <c r="I32" i="10"/>
  <c r="H32" i="10"/>
  <c r="D32" i="10"/>
  <c r="I44" i="10"/>
  <c r="H44" i="10"/>
  <c r="E44" i="10"/>
  <c r="G44" i="10"/>
  <c r="L45" i="10"/>
  <c r="D44" i="10"/>
  <c r="K44" i="10"/>
  <c r="C44" i="10"/>
  <c r="J44" i="10"/>
  <c r="F44" i="10"/>
  <c r="D22" i="10"/>
  <c r="K22" i="10"/>
  <c r="C22" i="10"/>
  <c r="M22" i="10" s="1"/>
  <c r="J22" i="10"/>
  <c r="I22" i="10"/>
  <c r="G22" i="10"/>
  <c r="F22" i="10"/>
  <c r="L23" i="10"/>
  <c r="E22" i="10"/>
  <c r="H22" i="10"/>
  <c r="F18" i="10"/>
  <c r="M18" i="10" s="1"/>
  <c r="L19" i="10"/>
  <c r="E18" i="10"/>
  <c r="K18" i="10"/>
  <c r="H18" i="10"/>
  <c r="D18" i="10"/>
  <c r="J18" i="10"/>
  <c r="I18" i="10"/>
  <c r="G18" i="10"/>
  <c r="C18" i="10"/>
  <c r="H14" i="10"/>
  <c r="D14" i="10"/>
  <c r="J14" i="10"/>
  <c r="G14" i="10"/>
  <c r="E14" i="10"/>
  <c r="F14" i="10"/>
  <c r="K14" i="10"/>
  <c r="C14" i="10"/>
  <c r="I14" i="10"/>
  <c r="L15" i="10"/>
  <c r="D12" i="10"/>
  <c r="L43" i="10" l="1"/>
  <c r="L39" i="10"/>
  <c r="C54" i="10"/>
  <c r="I54" i="10"/>
  <c r="I55" i="10" s="1"/>
  <c r="L47" i="10"/>
  <c r="F54" i="10"/>
  <c r="F55" i="10" s="1"/>
  <c r="M26" i="10"/>
  <c r="E54" i="10"/>
  <c r="E55" i="10" s="1"/>
  <c r="M30" i="10"/>
  <c r="K54" i="10"/>
  <c r="K55" i="10" s="1"/>
  <c r="M16" i="10"/>
  <c r="L49" i="10"/>
  <c r="M42" i="10"/>
  <c r="M44" i="10"/>
  <c r="M40" i="10"/>
  <c r="G54" i="10"/>
  <c r="G55" i="10" s="1"/>
  <c r="M34" i="10"/>
  <c r="M48" i="10"/>
  <c r="M28" i="10"/>
  <c r="M20" i="10"/>
  <c r="M38" i="10"/>
  <c r="M52" i="10"/>
  <c r="M32" i="10"/>
  <c r="L41" i="10"/>
  <c r="L51" i="10"/>
  <c r="J54" i="10"/>
  <c r="J55" i="10" s="1"/>
  <c r="M46" i="10"/>
  <c r="M24" i="10"/>
  <c r="M14" i="10"/>
  <c r="M36" i="10"/>
  <c r="M50" i="10"/>
  <c r="H54" i="10"/>
  <c r="H55" i="10" s="1"/>
  <c r="D54" i="10"/>
  <c r="M12" i="10"/>
  <c r="C55" i="10" l="1"/>
  <c r="C57" i="10" s="1"/>
  <c r="C56" i="10"/>
  <c r="D56" i="10"/>
  <c r="E56" i="10" s="1"/>
  <c r="D55" i="10"/>
  <c r="M54" i="10"/>
  <c r="F56" i="10"/>
  <c r="L55" i="10" l="1"/>
  <c r="L57" i="10" s="1"/>
  <c r="D57" i="10"/>
  <c r="E57" i="10" s="1"/>
  <c r="F57" i="10" s="1"/>
  <c r="G57" i="10" s="1"/>
  <c r="G56" i="10"/>
  <c r="H57" i="10" l="1"/>
  <c r="H56" i="10"/>
  <c r="I57" i="10" l="1"/>
  <c r="I56" i="10"/>
  <c r="J57" i="10" l="1"/>
  <c r="J56" i="10"/>
  <c r="K57" i="10" l="1"/>
  <c r="K56" i="10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Kleber Bueno</author>
  </authors>
  <commentList>
    <comment ref="C93" authorId="0" shapeId="0" xr:uid="{ED8C7DC2-B8D4-4F92-8451-D250C3800B80}">
      <text>
        <r>
          <rPr>
            <b/>
            <sz val="9"/>
            <color indexed="81"/>
            <rFont val="Segoe UI"/>
            <family val="2"/>
          </rPr>
          <t>Kleber Bueno:</t>
        </r>
        <r>
          <rPr>
            <sz val="9"/>
            <color indexed="81"/>
            <rFont val="Segoe UI"/>
            <family val="2"/>
          </rPr>
          <t xml:space="preserve">
cod anterior 93201 -  FIXAÇÃO (ENCUNHAMENTO) DE ALVENARIA DE VEDAÇÃO COM ARGAMASSA APLICADA COM COLHER. AF_03/2016</t>
        </r>
      </text>
    </comment>
    <comment ref="C334" authorId="0" shapeId="0" xr:uid="{508BCE50-1133-4436-94E8-4FA0C4DF6FF7}">
      <text>
        <r>
          <rPr>
            <b/>
            <sz val="9"/>
            <color indexed="81"/>
            <rFont val="Segoe UI"/>
            <family val="2"/>
          </rPr>
          <t>Kleber Bueno:</t>
        </r>
        <r>
          <rPr>
            <sz val="9"/>
            <color indexed="81"/>
            <rFont val="Segoe UI"/>
            <family val="2"/>
          </rPr>
          <t xml:space="preserve">
40395 - cod anterior
CHUMBADOR 3/8"" X 2.1/2"" COM PARAFUSO CBA/CB/CBT ZINCADO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Kleber Bueno</author>
  </authors>
  <commentList>
    <comment ref="C51" authorId="0" shapeId="0" xr:uid="{AD20BCA5-9756-4896-B89D-CEA262EB417C}">
      <text>
        <r>
          <rPr>
            <b/>
            <sz val="9"/>
            <color indexed="81"/>
            <rFont val="Segoe UI"/>
            <family val="2"/>
          </rPr>
          <t>Kleber Bueno:</t>
        </r>
        <r>
          <rPr>
            <sz val="9"/>
            <color indexed="81"/>
            <rFont val="Segoe UI"/>
            <family val="2"/>
          </rPr>
          <t xml:space="preserve">
 C.06.000.022012  LAJE PRÉ-FABRICADA UNIDIRECIONAL EM VIGA TRELIÇADA/LAJOTA EM EPS LT 16 (12 + 4) - SC = 300KGF/M²
</t>
        </r>
      </text>
    </comment>
    <comment ref="D120" authorId="0" shapeId="0" xr:uid="{CD6E85E1-65C8-4604-8760-F50D74184E57}">
      <text>
        <r>
          <rPr>
            <b/>
            <sz val="9"/>
            <color indexed="81"/>
            <rFont val="Segoe UI"/>
            <family val="2"/>
          </rPr>
          <t>Kleber Bueno:</t>
        </r>
        <r>
          <rPr>
            <sz val="9"/>
            <color indexed="81"/>
            <rFont val="Segoe UI"/>
            <family val="2"/>
          </rPr>
          <t xml:space="preserve">
https://www.ricardobombas.com.br/PressurizadorRowaMAXPRESS270VFMonofsico220V/prod-5423892/?form=MG0AV3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Kleber Bueno</author>
  </authors>
  <commentList>
    <comment ref="C93" authorId="0" shapeId="0" xr:uid="{506CD4D0-441C-4B1C-89FE-C8C684833C89}">
      <text>
        <r>
          <rPr>
            <b/>
            <sz val="9"/>
            <color indexed="81"/>
            <rFont val="Segoe UI"/>
            <family val="2"/>
          </rPr>
          <t>Kleber Bueno:</t>
        </r>
        <r>
          <rPr>
            <sz val="9"/>
            <color indexed="81"/>
            <rFont val="Segoe UI"/>
            <family val="2"/>
          </rPr>
          <t xml:space="preserve">
cod anterior 93201 -  FIXAÇÃO (ENCUNHAMENTO) DE ALVENARIA DE VEDAÇÃO COM ARGAMASSA APLICADA COM COLHER. AF_03/2016</t>
        </r>
      </text>
    </comment>
    <comment ref="C334" authorId="0" shapeId="0" xr:uid="{17F83BE2-8CC4-4D82-A412-9FA147D684D8}">
      <text>
        <r>
          <rPr>
            <b/>
            <sz val="9"/>
            <color indexed="81"/>
            <rFont val="Segoe UI"/>
            <family val="2"/>
          </rPr>
          <t>Kleber Bueno:</t>
        </r>
        <r>
          <rPr>
            <sz val="9"/>
            <color indexed="81"/>
            <rFont val="Segoe UI"/>
            <family val="2"/>
          </rPr>
          <t xml:space="preserve">
40395 - cod anterior
CHUMBADOR 3/8"" X 2.1/2"" COM PARAFUSO CBA/CB/CBT ZINCADO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Kleber Bueno</author>
  </authors>
  <commentList>
    <comment ref="C129" authorId="0" shapeId="0" xr:uid="{A043FD60-4D60-4BE2-89A2-7F4A11C32667}">
      <text>
        <r>
          <rPr>
            <b/>
            <sz val="9"/>
            <color indexed="81"/>
            <rFont val="Segoe UI"/>
            <family val="2"/>
          </rPr>
          <t>Kleber Bueno:</t>
        </r>
        <r>
          <rPr>
            <sz val="9"/>
            <color indexed="81"/>
            <rFont val="Segoe UI"/>
            <family val="2"/>
          </rPr>
          <t xml:space="preserve">
cod anterior 93201 -  FIXAÇÃO (ENCUNHAMENTO) DE ALVENARIA DE VEDAÇÃO COM ARGAMASSA APLICADA COM COLHER. AF_03/2016</t>
        </r>
      </text>
    </comment>
    <comment ref="C266" authorId="0" shapeId="0" xr:uid="{520BEE39-DA79-4D22-8FF9-0C4E2F3E898B}">
      <text>
        <r>
          <rPr>
            <b/>
            <sz val="9"/>
            <color indexed="81"/>
            <rFont val="Segoe UI"/>
            <family val="2"/>
          </rPr>
          <t>Kleber Bueno:</t>
        </r>
        <r>
          <rPr>
            <sz val="9"/>
            <color indexed="81"/>
            <rFont val="Segoe UI"/>
            <family val="2"/>
          </rPr>
          <t xml:space="preserve">
40395 - cod anterior
CHUMBADOR 3/8"" X 2.1/2"" COM PARAFUSO CBA/CB/CBT ZINCADO</t>
        </r>
      </text>
    </comment>
  </commentList>
</comments>
</file>

<file path=xl/sharedStrings.xml><?xml version="1.0" encoding="utf-8"?>
<sst xmlns="http://schemas.openxmlformats.org/spreadsheetml/2006/main" count="7632" uniqueCount="1677">
  <si>
    <t xml:space="preserve">DADOS GERAIS </t>
  </si>
  <si>
    <t>Secretaria de Atenção Especializada à Saúde</t>
  </si>
  <si>
    <t>Bancos:</t>
  </si>
  <si>
    <t>Obra:</t>
  </si>
  <si>
    <t>Local:</t>
  </si>
  <si>
    <t>Região:</t>
  </si>
  <si>
    <t>Data Base:</t>
  </si>
  <si>
    <t>BDI Geral (%):</t>
  </si>
  <si>
    <t>BDI Equipamentos (%):</t>
  </si>
  <si>
    <t>Área construída (m²):</t>
  </si>
  <si>
    <t>Data:</t>
  </si>
  <si>
    <t>Revisão:</t>
  </si>
  <si>
    <t>Responsável Técnico pelo Orçamento:</t>
  </si>
  <si>
    <t>Cargo Responsável Técnico:</t>
  </si>
  <si>
    <t>________________________________________________________________________________</t>
  </si>
  <si>
    <t>PLANILHA RESUMO</t>
  </si>
  <si>
    <t>BDI Geral:</t>
  </si>
  <si>
    <t>Encargo Social Mensalista:</t>
  </si>
  <si>
    <t>BDI Equipamentos:</t>
  </si>
  <si>
    <t>Encargo Social Horista:</t>
  </si>
  <si>
    <t>ITEM</t>
  </si>
  <si>
    <t>DESCRIÇÃO</t>
  </si>
  <si>
    <t>PREÇO</t>
  </si>
  <si>
    <t>%</t>
  </si>
  <si>
    <t>TOTAL</t>
  </si>
  <si>
    <t>Notas:</t>
  </si>
  <si>
    <t>PLANILHA DE ORÇAMENTO SINTÉTICO</t>
  </si>
  <si>
    <t>Item</t>
  </si>
  <si>
    <t>Código</t>
  </si>
  <si>
    <t>Banco</t>
  </si>
  <si>
    <t>Descrição</t>
  </si>
  <si>
    <t>Und</t>
  </si>
  <si>
    <t>Quant.</t>
  </si>
  <si>
    <t>Valor Unit</t>
  </si>
  <si>
    <t>Valor Unit com BDI</t>
  </si>
  <si>
    <t>Total</t>
  </si>
  <si>
    <t>Peso (%)</t>
  </si>
  <si>
    <t>M. O.</t>
  </si>
  <si>
    <t>MAT.</t>
  </si>
  <si>
    <t xml:space="preserve"> 1.1 </t>
  </si>
  <si>
    <t>SINAPI</t>
  </si>
  <si>
    <t>m²</t>
  </si>
  <si>
    <t xml:space="preserve"> 1.3 </t>
  </si>
  <si>
    <t xml:space="preserve"> 95648 </t>
  </si>
  <si>
    <t>UN</t>
  </si>
  <si>
    <t xml:space="preserve"> 95673 </t>
  </si>
  <si>
    <t xml:space="preserve"> 101509 </t>
  </si>
  <si>
    <t>ENTRADA DE ENERGIA ELÉTRICA, AÉREA, TRIFÁSICA, COM CAIXA DE EMBUTIR, CABO DE 10 MM2 E DISJUNTOR DIN 50A (NÃO INCLUSO O POSTE DE CONCRETO). AF_07/2020_PS</t>
  </si>
  <si>
    <t xml:space="preserve"> 103689 </t>
  </si>
  <si>
    <t>FORNECIMENTO E INSTALAÇÃO DE PLACA DE OBRA COM CHAPA GALVANIZADA E ESTRUTURA DE MADEIRA. AF_03/2022_PS</t>
  </si>
  <si>
    <t xml:space="preserve"> 98459 </t>
  </si>
  <si>
    <t>SBC</t>
  </si>
  <si>
    <t>FUNDAÇÃO</t>
  </si>
  <si>
    <t xml:space="preserve"> 2.1 </t>
  </si>
  <si>
    <t xml:space="preserve"> 99059 </t>
  </si>
  <si>
    <t>M</t>
  </si>
  <si>
    <t xml:space="preserve"> 2.2 </t>
  </si>
  <si>
    <t xml:space="preserve"> 93358 </t>
  </si>
  <si>
    <t>ESCAVAÇÃO MANUAL DE VALA COM PROFUNDIDADE MENOR OU IGUAL A 1,30 M. AF_02/2021</t>
  </si>
  <si>
    <t>m³</t>
  </si>
  <si>
    <t xml:space="preserve"> 2.3 </t>
  </si>
  <si>
    <t xml:space="preserve"> 2.4 </t>
  </si>
  <si>
    <t xml:space="preserve"> 2.5 </t>
  </si>
  <si>
    <t xml:space="preserve"> 2.6 </t>
  </si>
  <si>
    <t xml:space="preserve"> 96543 </t>
  </si>
  <si>
    <t>KG</t>
  </si>
  <si>
    <t xml:space="preserve"> 2.7 </t>
  </si>
  <si>
    <t xml:space="preserve"> 2.8 </t>
  </si>
  <si>
    <t xml:space="preserve"> 96545 </t>
  </si>
  <si>
    <t xml:space="preserve"> 2.9 </t>
  </si>
  <si>
    <t xml:space="preserve"> 96546 </t>
  </si>
  <si>
    <t xml:space="preserve"> 2.10 </t>
  </si>
  <si>
    <t xml:space="preserve"> 2.11 </t>
  </si>
  <si>
    <t xml:space="preserve"> 2.12 </t>
  </si>
  <si>
    <t xml:space="preserve"> 2.13 </t>
  </si>
  <si>
    <t xml:space="preserve"> 100574 </t>
  </si>
  <si>
    <t>ESPALHAMENTO DE MATERIAL COM TRATOR DE ESTEIRAS. AF_11/2019</t>
  </si>
  <si>
    <t xml:space="preserve"> 93382 </t>
  </si>
  <si>
    <t>REATERRO MANUAL DE VALAS, COM COMPACTADOR DE SOLOS DE PERCUSSÃO. AF_08/2023</t>
  </si>
  <si>
    <t xml:space="preserve"> 98557 </t>
  </si>
  <si>
    <t>IMPERMEABILIZAÇÃO DE SUPERFÍCIE COM EMULSÃO ASFÁLTICA, 2 DEMÃOS. AF_09/2023</t>
  </si>
  <si>
    <t xml:space="preserve"> 000128 </t>
  </si>
  <si>
    <t>CONTROLE TECNOLOGICO DE CONCRETOS</t>
  </si>
  <si>
    <t>ESTRUTURA</t>
  </si>
  <si>
    <t xml:space="preserve"> 3.1 </t>
  </si>
  <si>
    <t>PILARES</t>
  </si>
  <si>
    <t xml:space="preserve"> 3.1.1 </t>
  </si>
  <si>
    <t xml:space="preserve"> 3.1.2 </t>
  </si>
  <si>
    <t xml:space="preserve"> 92762 </t>
  </si>
  <si>
    <t>ARMAÇÃO DE PILAR OU VIGA DE ESTRUTURA CONVENCIONAL DE CONCRETO ARMADO UTILIZANDO AÇO CA-50 DE 10,0 MM - MONTAGEM. AF_06/2022</t>
  </si>
  <si>
    <t xml:space="preserve"> 3.1.3 </t>
  </si>
  <si>
    <t xml:space="preserve"> 92763 </t>
  </si>
  <si>
    <t>ARMAÇÃO DE PILAR OU VIGA DE ESTRUTURA CONVENCIONAL DE CONCRETO ARMADO UTILIZANDO AÇO CA-50 DE 12,5 MM - MONTAGEM. AF_06/2022</t>
  </si>
  <si>
    <t xml:space="preserve"> 3.1.4 </t>
  </si>
  <si>
    <t xml:space="preserve"> 92764 </t>
  </si>
  <si>
    <t>ARMAÇÃO DE PILAR OU VIGA DE ESTRUTURA CONVENCIONAL DE CONCRETO ARMADO UTILIZANDO AÇO CA-50 DE 16,0 MM - MONTAGEM. AF_06/2022</t>
  </si>
  <si>
    <t xml:space="preserve"> 3.1.5 </t>
  </si>
  <si>
    <t xml:space="preserve"> 92759 </t>
  </si>
  <si>
    <t>ARMAÇÃO DE PILAR OU VIGA DE ESTRUTURA CONVENCIONAL DE CONCRETO ARMADO UTILIZANDO AÇO CA-60 DE 5,0 MM - MONTAGEM. AF_06/2022</t>
  </si>
  <si>
    <t xml:space="preserve"> 3.1.6 </t>
  </si>
  <si>
    <t>Próprio</t>
  </si>
  <si>
    <t xml:space="preserve"> 3.1.7 </t>
  </si>
  <si>
    <t xml:space="preserve"> 3.2 </t>
  </si>
  <si>
    <t>VIGAS</t>
  </si>
  <si>
    <t xml:space="preserve"> 3.2.1 </t>
  </si>
  <si>
    <t xml:space="preserve"> 3.2.2 </t>
  </si>
  <si>
    <t xml:space="preserve"> 92760 </t>
  </si>
  <si>
    <t>ARMAÇÃO DE PILAR OU VIGA DE ESTRUTURA CONVENCIONAL DE CONCRETO ARMADO UTILIZANDO AÇO CA-50 DE 6,3 MM - MONTAGEM. AF_06/2022</t>
  </si>
  <si>
    <t xml:space="preserve"> 3.2.3 </t>
  </si>
  <si>
    <t xml:space="preserve"> 92761 </t>
  </si>
  <si>
    <t>ARMAÇÃO DE PILAR OU VIGA DE ESTRUTURA CONVENCIONAL DE CONCRETO ARMADO UTILIZANDO AÇO CA-50 DE 8,0 MM - MONTAGEM. AF_06/2022</t>
  </si>
  <si>
    <t xml:space="preserve"> 3.2.4 </t>
  </si>
  <si>
    <t xml:space="preserve"> 3.2.5 </t>
  </si>
  <si>
    <t xml:space="preserve"> 3.2.6 </t>
  </si>
  <si>
    <t xml:space="preserve"> 3.2.7 </t>
  </si>
  <si>
    <t xml:space="preserve"> 3.2.8 </t>
  </si>
  <si>
    <t xml:space="preserve"> 3.2.9 </t>
  </si>
  <si>
    <t xml:space="preserve"> 3.3 </t>
  </si>
  <si>
    <t xml:space="preserve"> 3.3.1 </t>
  </si>
  <si>
    <t xml:space="preserve"> 3.3.2 </t>
  </si>
  <si>
    <t xml:space="preserve"> 3.3.3 </t>
  </si>
  <si>
    <t xml:space="preserve"> 92768 </t>
  </si>
  <si>
    <t>ARMAÇÃO DE LAJE DE ESTRUTURA CONVENCIONAL DE CONCRETO ARMADO UTILIZANDO AÇO CA-60 DE 5,0 MM - MONTAGEM. AF_06/2022</t>
  </si>
  <si>
    <t xml:space="preserve"> 3.3.4 </t>
  </si>
  <si>
    <t xml:space="preserve"> 92769 </t>
  </si>
  <si>
    <t>ARMAÇÃO DE LAJE DE ESTRUTURA CONVENCIONAL DE CONCRETO ARMADO UTILIZANDO AÇO CA-50 DE 6,3 MM - MONTAGEM. AF_06/2022</t>
  </si>
  <si>
    <t xml:space="preserve"> 3.3.5 </t>
  </si>
  <si>
    <t xml:space="preserve"> 92770 </t>
  </si>
  <si>
    <t>ARMAÇÃO DE LAJE DE ESTRUTURA CONVENCIONAL DE CONCRETO ARMADO UTILIZANDO AÇO CA-50 DE 8,0 MM - MONTAGEM. AF_06/2022</t>
  </si>
  <si>
    <t xml:space="preserve"> 3.3.6 </t>
  </si>
  <si>
    <t xml:space="preserve"> 92771 </t>
  </si>
  <si>
    <t>ARMAÇÃO DE LAJE DE ESTRUTURA CONVENCIONAL DE CONCRETO ARMADO UTILIZANDO AÇO CA-50 DE 10,0 MM - MONTAGEM. AF_06/2022</t>
  </si>
  <si>
    <t xml:space="preserve"> 3.3.7 </t>
  </si>
  <si>
    <t xml:space="preserve"> 3.3.8 </t>
  </si>
  <si>
    <t xml:space="preserve"> 4.1 </t>
  </si>
  <si>
    <t xml:space="preserve"> 4.2 </t>
  </si>
  <si>
    <t xml:space="preserve"> 4.3 </t>
  </si>
  <si>
    <t xml:space="preserve"> 93191 </t>
  </si>
  <si>
    <t xml:space="preserve"> 93199 </t>
  </si>
  <si>
    <t>REVESTIMENTO ARGAMASSADO</t>
  </si>
  <si>
    <t xml:space="preserve"> 5.1 </t>
  </si>
  <si>
    <t xml:space="preserve"> 87905 </t>
  </si>
  <si>
    <t>CHAPISCO APLICADO EM ALVENARIA (COM PRESENÇA DE VÃOS) E ESTRUTURAS DE CONCRETO DE FACHADA, COM COLHER DE PEDREIRO.  ARGAMASSA TRAÇO 1:3 COM PREPARO EM BETONEIRA 400L. AF_10/2022</t>
  </si>
  <si>
    <t xml:space="preserve"> 5.2 </t>
  </si>
  <si>
    <t xml:space="preserve"> 5.3 </t>
  </si>
  <si>
    <t xml:space="preserve"> 2180 </t>
  </si>
  <si>
    <t>ORSE</t>
  </si>
  <si>
    <t>Regularização de base para revest. de pisos com arg. traço t4, esp. média = 2,5cm</t>
  </si>
  <si>
    <t>COBERTURA</t>
  </si>
  <si>
    <t xml:space="preserve"> 6.1 </t>
  </si>
  <si>
    <t xml:space="preserve"> 94207 </t>
  </si>
  <si>
    <t>TELHAMENTO COM TELHA ONDULADA DE FIBROCIMENTO E = 6 MM, COM RECOBRIMENTO LATERAL DE 1/4 DE ONDA PARA TELHADO COM INCLINAÇÃO MAIOR QUE 10°, COM ATÉ 2 ÁGUAS, INCLUSO IÇAMENTO. AF_07/2019</t>
  </si>
  <si>
    <t xml:space="preserve"> 100383 </t>
  </si>
  <si>
    <t>FABRICAÇÃO E INSTALAÇÃO DE PONTALETES DE MADEIRA NÃO APARELHADA PARA TELHADOS COM ATÉ 2 ÁGUAS E COM TELHA ONDULADA DE FIBROCIMENTO, ALUMÍNIO OU PLÁSTICA EM EDIFÍCIO RESIDENCIAL DE MÚLTIPLOS PAVIMENTOS, INCLUSO TRANSPORTE VERTICAL. AF_07/2019</t>
  </si>
  <si>
    <t>TRAMA DE MADEIRA COMPOSTA POR TERÇAS PARA TELHADOS DE ATÉ 2 ÁGUAS PARA TELHA ONDULADA DE FIBROCIMENTO, METÁLICA, PLÁSTICA OU TERMOACÚSTICA, INCLUSO TRANSPORTE VERTICAL. AF_07/2019</t>
  </si>
  <si>
    <t>RUFO EM CHAPA DE AÇO GALVANIZADO NÚMERO 24, CORTE DE 25 CM, INCLUSO TRANSPORTE VERTICAL. AF_07/2019</t>
  </si>
  <si>
    <t xml:space="preserve"> 94229 </t>
  </si>
  <si>
    <t>CALHA EM CHAPA DE AÇO GALVANIZADO NÚMERO 24, DESENVOLVIMENTO DE 100 CM, INCLUSO TRANSPORTE VERTICAL. AF_07/2019</t>
  </si>
  <si>
    <t xml:space="preserve"> 7.1 </t>
  </si>
  <si>
    <t xml:space="preserve"> 90373 </t>
  </si>
  <si>
    <t>JOELHO 90 GRAUS COM BUCHA DE LATÃO, PVC, SOLDÁVEL, DN 25MM, X 1/2  INSTALADO EM RAMAL OU SUB-RAMAL DE ÁGUA - FORNECIMENTO E INSTALAÇÃO. AF_06/2022</t>
  </si>
  <si>
    <t xml:space="preserve"> 86913 </t>
  </si>
  <si>
    <t xml:space="preserve"> 89396 </t>
  </si>
  <si>
    <t>TÊ COM BUCHA DE LATÃO NA BOLSA CENTRAL, PVC, SOLDÁVEL, DN 25MM X 1/2 , INSTALADO EM RAMAL OU SUB-RAMAL DE ÁGUA - FORNECIMENTO E INSTALAÇÃO. AF_06/2022</t>
  </si>
  <si>
    <t xml:space="preserve"> 89366 </t>
  </si>
  <si>
    <t>JOELHO 90 GRAUS COM BUCHA DE LATÃO, PVC, SOLDÁVEL, DN 25MM, X 3/4  INSTALADO EM RAMAL OU SUB-RAMAL DE ÁGUA - FORNECIMENTO E INSTALAÇÃO. AF_06/2022</t>
  </si>
  <si>
    <t xml:space="preserve"> 89627 </t>
  </si>
  <si>
    <t>TÊ DE REDUÇÃO, PVC, SOLDÁVEL, DN 50MM X 25MM, INSTALADO EM PRUMADA DE ÁGUA - FORNECIMENTO E INSTALAÇÃO. AF_06/2022</t>
  </si>
  <si>
    <t>un</t>
  </si>
  <si>
    <t xml:space="preserve"> 89985 </t>
  </si>
  <si>
    <t>REGISTRO DE PRESSÃO BRUTO, LATÃO, ROSCÁVEL, 3/4", COM ACABAMENTO E CANOPLA CROMADOS - FORNECIMENTO E INSTALAÇÃO. AF_08/2021</t>
  </si>
  <si>
    <t xml:space="preserve"> 89987 </t>
  </si>
  <si>
    <t>REGISTRO DE GAVETA BRUTO, LATÃO, ROSCÁVEL, 3/4", COM ACABAMENTO E CANOPLA CROMADOS - FORNECIMENTO E INSTALAÇÃO. AF_08/2021</t>
  </si>
  <si>
    <t xml:space="preserve"> 94794 </t>
  </si>
  <si>
    <t>REGISTRO DE GAVETA BRUTO, LATÃO, ROSCÁVEL, 1 1/2", COM ACABAMENTO E CANOPLA CROMADOS - FORNECIMENTO E INSTALAÇÃO. AF_08/2021</t>
  </si>
  <si>
    <t xml:space="preserve"> 89408 </t>
  </si>
  <si>
    <t>JOELHO 90 GRAUS, PVC, SOLDÁVEL, DN 25MM, INSTALADO EM RAMAL DE DISTRIBUIÇÃO DE ÁGUA - FORNECIMENTO E INSTALAÇÃO. AF_06/2022</t>
  </si>
  <si>
    <t xml:space="preserve"> 104014 </t>
  </si>
  <si>
    <t>BUCHA DE REDUÇÃO, LONGA, PVC, SOLDÁVEL, DN 40 X 25 MM, INSTALADO EM RAMAL DE DISTRIBUIÇÃO DE ÁGUA - FORNECIMENTO E INSTALAÇÃO. AF_06/2022</t>
  </si>
  <si>
    <t xml:space="preserve"> 7.2 </t>
  </si>
  <si>
    <t>SANITÁRIA</t>
  </si>
  <si>
    <t xml:space="preserve"> 104328 </t>
  </si>
  <si>
    <t>CAIXA SIFONADA, COM GRELHA QUADRADA, PVC, DN 150 X 150 X 50 MM, JUNTA SOLDÁVEL, FORNECIDA E INSTALADA EM RAMAL DE DESCARGA OU EM RAMAL DE ESGOTO SANITÁRIO. AF_08/2022</t>
  </si>
  <si>
    <t xml:space="preserve"> 89728 </t>
  </si>
  <si>
    <t>CURVA CURTA 90 GRAUS, PVC, SERIE NORMAL, ESGOTO PREDIAL, DN 40 MM, JUNTA SOLDÁVEL, FORNECIDO E INSTALADO EM RAMAL DE DESCARGA OU RAMAL DE ESGOTO SANITÁRIO. AF_08/2022</t>
  </si>
  <si>
    <t xml:space="preserve"> 89726 </t>
  </si>
  <si>
    <t>JOELHO 45 GRAUS, PVC, SERIE NORMAL, ESGOTO PREDIAL, DN 40 MM, JUNTA SOLDÁVEL, FORNECIDO E INSTALADO EM RAMAL DE DESCARGA OU RAMAL DE ESGOTO SANITÁRIO. AF_08/2022</t>
  </si>
  <si>
    <t xml:space="preserve"> 89724 </t>
  </si>
  <si>
    <t>JOELHO 90 GRAUS, PVC, SERIE NORMAL, ESGOTO PREDIAL, DN 40 MM, JUNTA SOLDÁVEL, FORNECIDO E INSTALADO EM RAMAL DE DESCARGA OU RAMAL DE ESGOTO SANITÁRIO. AF_08/2022</t>
  </si>
  <si>
    <t xml:space="preserve"> 89549 </t>
  </si>
  <si>
    <t>REDUÇÃO EXCÊNTRICA, PVC, SERIE R, ÁGUA PLUVIAL, DN 75 X 50 MM, JUNTA ELÁSTICA, FORNECIDO E INSTALADO EM RAMAL DE ENCAMINHAMENTO. AF_06/2022</t>
  </si>
  <si>
    <t xml:space="preserve"> 89731 </t>
  </si>
  <si>
    <t>JOELHO 90 GRAUS, PVC, SERIE NORMAL, ESGOTO PREDIAL, DN 50 MM, JUNTA ELÁSTICA, FORNECIDO E INSTALADO EM RAMAL DE DESCARGA OU RAMAL DE ESGOTO SANITÁRIO. AF_08/2022</t>
  </si>
  <si>
    <t xml:space="preserve"> 89825 </t>
  </si>
  <si>
    <t>TE, PVC, SERIE NORMAL, ESGOTO PREDIAL, DN 50 X 50 MM, JUNTA ELÁSTICA, FORNECIDO E INSTALADO EM PRUMADA DE ESGOTO SANITÁRIO OU VENTILAÇÃO. AF_08/2022</t>
  </si>
  <si>
    <t xml:space="preserve"> 7.3 </t>
  </si>
  <si>
    <t xml:space="preserve"> 89869 </t>
  </si>
  <si>
    <t>TE, PVC, SOLDÁVEL, DN 25MM, INSTALADO EM DRENO DE AR-CONDICIONADO - FORNECIMENTO E INSTALAÇÃO. AF_08/2022</t>
  </si>
  <si>
    <t xml:space="preserve"> 97.02.198 </t>
  </si>
  <si>
    <t>CPOS/CDHU</t>
  </si>
  <si>
    <t>Un</t>
  </si>
  <si>
    <t xml:space="preserve"> 101910 </t>
  </si>
  <si>
    <t>EXTINTOR DE INCÊNDIO PORTÁTIL COM CARGA DE PQS DE 8 KG, CLASSE BC - FORNECIMENTO E INSTALAÇÃO. AF_10/2020_PE</t>
  </si>
  <si>
    <t xml:space="preserve"> 12889 </t>
  </si>
  <si>
    <t>Placa de sinalizacao, fotoluminescente, em pvc , com logotipo "Cuidado risco de choque elétrico"- Placa E5</t>
  </si>
  <si>
    <t xml:space="preserve"> 8.1 </t>
  </si>
  <si>
    <t xml:space="preserve"> 8.2 </t>
  </si>
  <si>
    <t>CAIXA OCTOGONAL 3" X 3", PVC, INSTALADA EM LAJE - FORNECIMENTO E INSTALAÇÃO. AF_03/2023</t>
  </si>
  <si>
    <t xml:space="preserve"> 91924 </t>
  </si>
  <si>
    <t>CABO DE COBRE FLEXÍVEL ISOLADO, 1,5 MM², ANTI-CHAMA 450/750 V, PARA CIRCUITOS TERMINAIS - FORNECIMENTO E INSTALAÇÃO. AF_03/2023</t>
  </si>
  <si>
    <t>CABO DE COBRE FLEXÍVEL ISOLADO, 2,5 MM², ANTI-CHAMA 450/750 V, PARA CIRCUITOS TERMINAIS - FORNECIMENTO E INSTALAÇÃO. AF_03/2023</t>
  </si>
  <si>
    <t xml:space="preserve"> 91928 </t>
  </si>
  <si>
    <t>CABO DE COBRE FLEXÍVEL ISOLADO, 4 MM², ANTI-CHAMA 450/750 V, PARA CIRCUITOS TERMINAIS - FORNECIMENTO E INSTALAÇÃO. AF_03/2023</t>
  </si>
  <si>
    <t xml:space="preserve"> 91930 </t>
  </si>
  <si>
    <t>CABO DE COBRE FLEXÍVEL ISOLADO, 6 MM², ANTI-CHAMA 450/750 V, PARA CIRCUITOS TERMINAIS - FORNECIMENTO E INSTALAÇÃO. AF_03/2023</t>
  </si>
  <si>
    <t xml:space="preserve"> 91955 </t>
  </si>
  <si>
    <t>INTERRUPTOR PARALELO (1 MÓDULO), 10A/250V, INCLUINDO SUPORTE E PLACA - FORNECIMENTO E INSTALAÇÃO. AF_03/2023</t>
  </si>
  <si>
    <t>DISJUNTOR BIPOLAR TIPO DIN, CORRENTE NOMINAL DE 20A - FORNECIMENTO E INSTALAÇÃO. AF_10/2020</t>
  </si>
  <si>
    <t xml:space="preserve"> 93665 </t>
  </si>
  <si>
    <t>DISJUNTOR BIPOLAR TIPO DIN, CORRENTE NOMINAL DE 40A - FORNECIMENTO E INSTALAÇÃO. AF_10/2020</t>
  </si>
  <si>
    <t xml:space="preserve"> 93654 </t>
  </si>
  <si>
    <t>DISJUNTOR MONOPOLAR TIPO DIN, CORRENTE NOMINAL DE 16A - FORNECIMENTO E INSTALAÇÃO. AF_10/2020</t>
  </si>
  <si>
    <t xml:space="preserve"> 93655 </t>
  </si>
  <si>
    <t>DISJUNTOR MONOPOLAR TIPO DIN, CORRENTE NOMINAL DE 20A - FORNECIMENTO E INSTALAÇÃO. AF_10/2020</t>
  </si>
  <si>
    <t xml:space="preserve"> 078206 </t>
  </si>
  <si>
    <t>CABO DE COBRE NU MEIO DURO 7 FIOS 35mm2</t>
  </si>
  <si>
    <t xml:space="preserve"> 078212 </t>
  </si>
  <si>
    <t>CABO DE COBRE NU MEIO DURO 7 FIOS 50mm2</t>
  </si>
  <si>
    <t xml:space="preserve"> 96989 </t>
  </si>
  <si>
    <t>CAPTOR TIPO FRANKLIN PARA SPDA - FORNECIMENTO E INSTALAÇÃO. AF_08/2023</t>
  </si>
  <si>
    <t xml:space="preserve"> 9.1 </t>
  </si>
  <si>
    <t xml:space="preserve"> 96114 </t>
  </si>
  <si>
    <t>FORRO EM DRYWALL, PARA AMBIENTES COMERCIAIS, INCLUSIVE ESTRUTURA BIRECIONAL DE FIXAÇÃO. AF_08/2023_PS</t>
  </si>
  <si>
    <t xml:space="preserve"> 9.2 </t>
  </si>
  <si>
    <t xml:space="preserve"> 9.3 </t>
  </si>
  <si>
    <t xml:space="preserve"> 10.1 </t>
  </si>
  <si>
    <t xml:space="preserve"> 10168 </t>
  </si>
  <si>
    <t>Piso alta resistencia, colorido, e=10mm, aplicado com juntas, polido até o esmeril 400 e encerado</t>
  </si>
  <si>
    <t xml:space="preserve"> 11233 </t>
  </si>
  <si>
    <t>Rodapé alta resistência, h = 10 cm, meia-cana</t>
  </si>
  <si>
    <t>m</t>
  </si>
  <si>
    <t xml:space="preserve"> 11.1 </t>
  </si>
  <si>
    <t xml:space="preserve"> 12.1 </t>
  </si>
  <si>
    <t xml:space="preserve"> 12492 </t>
  </si>
  <si>
    <t>Tampo/bancada em granito branco siena, e=2cm</t>
  </si>
  <si>
    <t>ESQUADRIAS</t>
  </si>
  <si>
    <t xml:space="preserve"> 13.1 </t>
  </si>
  <si>
    <t xml:space="preserve"> 91338 </t>
  </si>
  <si>
    <t>PORTA DE ALUMÍNIO DE ABRIR COM LAMBRI, COM GUARNIÇÃO, FIXAÇÃO COM PARAFUSOS - FORNECIMENTO E INSTALAÇÃO. AF_12/2019</t>
  </si>
  <si>
    <t xml:space="preserve"> 94569 </t>
  </si>
  <si>
    <t>JANELA DE ALUMÍNIO TIPO MAXIM-AR, COM VIDROS, BATENTE E FERRAGENS. EXCLUSIVE ALIZAR, ACABAMENTO E CONTRAMARCO. FORNECIMENTO E INSTALAÇÃO. AF_12/2019</t>
  </si>
  <si>
    <t xml:space="preserve"> 14.1 </t>
  </si>
  <si>
    <t xml:space="preserve"> 86932 </t>
  </si>
  <si>
    <t>VASO SANITÁRIO SIFONADO COM CAIXA ACOPLADA LOUÇA BRANCA - PADRÃO MÉDIO, INCLUSO ENGATE FLEXÍVEL EM METAL CROMADO, 1/2  X 40CM - FORNECIMENTO E INSTALAÇÃO. AF_01/2020</t>
  </si>
  <si>
    <t xml:space="preserve"> 100860 </t>
  </si>
  <si>
    <t xml:space="preserve"> 86919 </t>
  </si>
  <si>
    <t>TANQUE DE LOUÇA BRANCA COM COLUNA, 30L OU EQUIVALENTE, INCLUSO SIFÃO FLEXÍVEL EM PVC, VÁLVULA METÁLICA E TORNEIRA DE METAL CROMADO PADRÃO MÉDIO - FORNECIMENTO E INSTALAÇÃO. AF_01/2020</t>
  </si>
  <si>
    <t xml:space="preserve"> 9676 </t>
  </si>
  <si>
    <t>Torneira de mesa com fechamento automático, linha Decamatic Eco, ref.1173.C, DECA ou similar</t>
  </si>
  <si>
    <t xml:space="preserve"> 9503 </t>
  </si>
  <si>
    <t>Ducha higiênica com registro, linha Dream, ref. 1984.C87.ACT.CR, da DECA ou similar</t>
  </si>
  <si>
    <t xml:space="preserve"> 86883 </t>
  </si>
  <si>
    <t>SIFÃO DO TIPO FLEXÍVEL EM PVC 1  X 1.1/2  - FORNECIMENTO E INSTALAÇÃO. AF_01/2020</t>
  </si>
  <si>
    <t xml:space="preserve"> 15.1 </t>
  </si>
  <si>
    <t xml:space="preserve"> 13113 </t>
  </si>
  <si>
    <t>Barra de apoio, reta, fixa, em aço inox, l=80cm, d=1 1/4", Jackwal ou similar</t>
  </si>
  <si>
    <t xml:space="preserve"> 13110 </t>
  </si>
  <si>
    <t>Barra de apoio, reta, fixa, em aço inox, l=40cm, d=1 1/4", Jackwal ou similar</t>
  </si>
  <si>
    <t xml:space="preserve"> 100867 </t>
  </si>
  <si>
    <t>BARRA DE APOIO RETA, EM ACO INOX POLIDO, COMPRIMENTO 70 CM,  FIXADA NA PAREDE - FORNECIMENTO E INSTALAÇÃO. AF_01/2020</t>
  </si>
  <si>
    <t>DIVISÓRIAS</t>
  </si>
  <si>
    <t xml:space="preserve"> 16.1 </t>
  </si>
  <si>
    <t xml:space="preserve"> 102257 </t>
  </si>
  <si>
    <t>DIVISORIA SANITÁRIA, TIPO CABINE, EM PAINEL DE GRANILITE, ESP = 3CM, ASSENTADO COM ARGAMASSA COLANTE AC III-E, EXCLUSIVE FERRAGENS. AF_01/2021</t>
  </si>
  <si>
    <t>ILUMINAÇÃO</t>
  </si>
  <si>
    <t xml:space="preserve"> 17.1 </t>
  </si>
  <si>
    <t xml:space="preserve"> 17.2 </t>
  </si>
  <si>
    <t xml:space="preserve"> 97607 </t>
  </si>
  <si>
    <t>LUMINÁRIA ARANDELA TIPO TARTARUGA, DE SOBREPOR, COM 1 LÂMPADA LED DE 6 W, SEM REATOR - FORNECIMENTO E INSTALAÇÃO. AF_02/2020</t>
  </si>
  <si>
    <t>PINTURA</t>
  </si>
  <si>
    <t xml:space="preserve"> 18.1 </t>
  </si>
  <si>
    <t xml:space="preserve"> 88485 </t>
  </si>
  <si>
    <t>FUNDO SELADOR ACRÍLICO, APLICAÇÃO MANUAL EM PAREDE, UMA DEMÃO. AF_04/2023</t>
  </si>
  <si>
    <t xml:space="preserve"> 18.2 </t>
  </si>
  <si>
    <t xml:space="preserve"> 19.1 </t>
  </si>
  <si>
    <t xml:space="preserve"> 19.2 </t>
  </si>
  <si>
    <t xml:space="preserve"> 20.1 </t>
  </si>
  <si>
    <t xml:space="preserve"> 12043 </t>
  </si>
  <si>
    <t>Letra em aço inox escovado/polido 20 x 20cm - instalado</t>
  </si>
  <si>
    <t xml:space="preserve"> 20.2 </t>
  </si>
  <si>
    <t>PAISAGISMO</t>
  </si>
  <si>
    <t xml:space="preserve"> 21.1 </t>
  </si>
  <si>
    <t xml:space="preserve"> 103946 </t>
  </si>
  <si>
    <t>PLANTIO DE GRAMA ESMERALDA OU SÃO CARLOS OU CURITIBANA, EM PLACAS. AF_05/2022</t>
  </si>
  <si>
    <t>CLIMATIZAÇÃO</t>
  </si>
  <si>
    <t>DADOS E VOZ</t>
  </si>
  <si>
    <t xml:space="preserve"> 98307 </t>
  </si>
  <si>
    <t>TOMADA DE REDE RJ45 - FORNECIMENTO E INSTALAÇÃO. AF_11/2019</t>
  </si>
  <si>
    <t>GASES MEDICINAIS</t>
  </si>
  <si>
    <t xml:space="preserve"> 103835 </t>
  </si>
  <si>
    <t>TUBO EM COBRE RÍGIDO, DN 15 MM, CLASSE A, SEM ISOLAMENTO, INSTALADO EM RAMAL E SUB-RAMAL DE GÁS MEDICINAL - FORNECIMENTO E INSTALAÇÃO. AF_04/2022</t>
  </si>
  <si>
    <t xml:space="preserve"> 103865 </t>
  </si>
  <si>
    <t>TÊ EM COBRE, DN 15 MM, SEM ANEL DE SOLDA, INSTALADO EM RAMAL E SUB-RAMAL DE GÁS MEDICINAL - FORNECIMENTO E INSTALAÇÃO. AF_04/2022</t>
  </si>
  <si>
    <t xml:space="preserve"> 103847 </t>
  </si>
  <si>
    <t>LUVA EM COBRE, DN 15 MM, SEM ANEL DE SOLDA, INSTALADO EM RAMAL E SUB-RAMAL DE GÁS MEDICINAL - FORNECIMENTO E INSTALAÇÃO. AF_04/2022</t>
  </si>
  <si>
    <t xml:space="preserve"> 103838 </t>
  </si>
  <si>
    <t>COTOVELO EM COBRE, DN 15 MM, 90 GRAUS, SEM ANEL DE SOLDA, INSTALADO EM RAMAL E SUB-RAMAL DE GÁS MEDICINAL - FORNECIMENTO E INSTALAÇÃO. AF_04/2022</t>
  </si>
  <si>
    <t xml:space="preserve"> 2451 </t>
  </si>
  <si>
    <t>Limpeza/remoção de tintas em pisos e revestimentos</t>
  </si>
  <si>
    <t>EQUIPAMENTOS DE APOIO</t>
  </si>
  <si>
    <t xml:space="preserve"> CPU1926 </t>
  </si>
  <si>
    <t>LOCACAO DE ANDAIME METALICO TIPO FACHADEIRO, PECAS COM APROXIMADAMENTE 1,20 M DE LARGURA E 2,0 M DE ALTURA, INCLUINDO DIAGONAIS EM X, BARRAS DE LIGACAO, SAPATAS E DEMAIS ITENS NECESSARIOS A MONTAGEM, INCLUSIVE MONTAGEM E DESMONTAGEM</t>
  </si>
  <si>
    <t>M2XMÊS</t>
  </si>
  <si>
    <t>Totais -&gt;</t>
  </si>
  <si>
    <t>Total sem BDI</t>
  </si>
  <si>
    <t>Total do BDI</t>
  </si>
  <si>
    <t>Total Geral</t>
  </si>
  <si>
    <t>Tipo</t>
  </si>
  <si>
    <t>Composição</t>
  </si>
  <si>
    <t>Composição Auxiliar</t>
  </si>
  <si>
    <t xml:space="preserve"> 88316 </t>
  </si>
  <si>
    <t>SERVENTE COM ENCARGOS COMPLEMENTARES</t>
  </si>
  <si>
    <t>SEDI - SERVIÇOS DIVERSOS</t>
  </si>
  <si>
    <t>H</t>
  </si>
  <si>
    <t>CHOR - CUSTOS HORÁRIOS DE MÁQUINAS E EQUIPAMENTOS</t>
  </si>
  <si>
    <t>CHI</t>
  </si>
  <si>
    <t>CHP</t>
  </si>
  <si>
    <t>MO sem LS =&gt;</t>
  </si>
  <si>
    <t>LS =&gt;</t>
  </si>
  <si>
    <t>MO com LS =&gt;</t>
  </si>
  <si>
    <t>Valor do BDI =&gt;</t>
  </si>
  <si>
    <t>Valor com BDI =&gt;</t>
  </si>
  <si>
    <t>FUES - FUNDAÇÕES E ESTRUTURAS</t>
  </si>
  <si>
    <t xml:space="preserve"> 88262 </t>
  </si>
  <si>
    <t>CARPINTEIRO DE FORMAS COM ENCARGOS COMPLEMENTARES</t>
  </si>
  <si>
    <t>Insumo</t>
  </si>
  <si>
    <t>Material</t>
  </si>
  <si>
    <t xml:space="preserve"> 97886 </t>
  </si>
  <si>
    <t>CAIXA ENTERRADA ELÉTRICA RETANGULAR, EM ALVENARIA COM TIJOLOS CERÂMICOS MACIÇOS, FUNDO COM BRITA, DIMENSÕES INTERNAS: 0,3X0,3X0,3 M. AF_12/2020</t>
  </si>
  <si>
    <t>PARE - PAREDES/PAINEIS</t>
  </si>
  <si>
    <t xml:space="preserve"> 91940 </t>
  </si>
  <si>
    <t>CAIXA RETANGULAR 4" X 2" MÉDIA (1,30 M DO PISO), PVC, INSTALADA EM PAREDE - FORNECIMENTO E INSTALAÇÃO. AF_03/2023</t>
  </si>
  <si>
    <t>CJ</t>
  </si>
  <si>
    <t>Equipamento</t>
  </si>
  <si>
    <t xml:space="preserve"> 89709 </t>
  </si>
  <si>
    <t>RALO SIFONADO, PVC, DN 100 X 40 MM, JUNTA SOLDÁVEL, FORNECIDO E INSTALADO EM RAMAL DE DESCARGA OU EM RAMAL DE ESGOTO SANITÁRIO. AF_08/2022</t>
  </si>
  <si>
    <t xml:space="preserve"> 88248 </t>
  </si>
  <si>
    <t>AUXILIAR DE ENCANADOR OU BOMBEIRO HIDRÁULICO COM ENCARGOS COMPLEMENTARES</t>
  </si>
  <si>
    <t xml:space="preserve"> 88267 </t>
  </si>
  <si>
    <t>ENCANADOR OU BOMBEIRO HIDRÁULICO COM ENCARGOS COMPLEMENTARES</t>
  </si>
  <si>
    <t xml:space="preserve"> 88264 </t>
  </si>
  <si>
    <t>ELETRICISTA COM ENCARGOS COMPLEMENTARES</t>
  </si>
  <si>
    <t>L</t>
  </si>
  <si>
    <t xml:space="preserve"> 88309 </t>
  </si>
  <si>
    <t>PEDREIRO COM ENCARGOS COMPLEMENTARES</t>
  </si>
  <si>
    <t xml:space="preserve"> 90586 </t>
  </si>
  <si>
    <t>VIBRADOR DE IMERSÃO, DIÂMETRO DE PONTEIRA 45MM, MOTOR ELÉTRICO TRIFÁSICO POTÊNCIA DE 2 CV - CHP DIURNO. AF_06/2015</t>
  </si>
  <si>
    <t xml:space="preserve"> 90587 </t>
  </si>
  <si>
    <t>VIBRADOR DE IMERSÃO, DIÂMETRO DE PONTEIRA 45MM, MOTOR ELÉTRICO TRIFÁSICO POTÊNCIA DE 2 CV - CHI DIURNO. AF_06/2015</t>
  </si>
  <si>
    <t>MES</t>
  </si>
  <si>
    <t>CENTO</t>
  </si>
  <si>
    <t xml:space="preserve"> 88278 </t>
  </si>
  <si>
    <t>MONTADOR DE ESTRUTURA METÁLICA COM ENCARGOS COMPLEMENTARES</t>
  </si>
  <si>
    <t xml:space="preserve"> 00037586 </t>
  </si>
  <si>
    <t>PINO DE ACO COM ARRUELA CONICA, DIAMETRO ARRUELA = *23* MM E COMP HASTE = *27* MM (ACAO INDIRETA)</t>
  </si>
  <si>
    <t xml:space="preserve"> 00039413 </t>
  </si>
  <si>
    <t>PLACA / CHAPA DE GESSO ACARTONADO, STANDARD (ST), COR BRANCA, E = 12,5 MM, 1200 X 2400 MM (L X C)</t>
  </si>
  <si>
    <t xml:space="preserve"> 00039419 </t>
  </si>
  <si>
    <t>PERFIL GUIA, FORMATO U, EM ACO ZINCADO, PARA ESTRUTURA PAREDE DRYWALL, E = 0,5 MM, 70 X 3000 MM (L X C)</t>
  </si>
  <si>
    <t xml:space="preserve"> 00039422 </t>
  </si>
  <si>
    <t>PERFIL MONTANTE, FORMATO C, EM ACO ZINCADO, PARA ESTRUTURA PAREDE DRYWALL, E = 0,5 MM, 70 X 3000 MM (L X C)</t>
  </si>
  <si>
    <t xml:space="preserve"> 00039431 </t>
  </si>
  <si>
    <t>FITA DE PAPEL MICROPERFURADO, 50 X 150 MM, PARA TRATAMENTO DE JUNTAS DE CHAPA DE GESSO PARA DRYWALL</t>
  </si>
  <si>
    <t xml:space="preserve"> 00039432 </t>
  </si>
  <si>
    <t>FITA DE PAPEL REFORCADA COM LAMINA DE METAL PARA REFORCO DE CANTOS DE CHAPA DE GESSO PARA DRYWALL</t>
  </si>
  <si>
    <t xml:space="preserve"> 00039434 </t>
  </si>
  <si>
    <t>MASSA DE REJUNTE EM PO PARA DRYWALL, A BASE DE GESSO, SECAGEM RAPIDA, PARA TRATAMENTO DE JUNTAS DE CHAPA DE GESSO (NECESSITA ADICAO DE AGUA)</t>
  </si>
  <si>
    <t xml:space="preserve"> 00039435 </t>
  </si>
  <si>
    <t>PARAFUSO DRY WALL, EM ACO FOSFATIZADO, CABECA TROMBETA E PONTA AGULHA (TA), COMPRIMENTO 25 MM</t>
  </si>
  <si>
    <t xml:space="preserve"> 00039443 </t>
  </si>
  <si>
    <t>PARAFUSO DRY WALL, EM ACO ZINCADO, CABECA LENTILHA E PONTA BROCA (LB), LARGURA 4,2 MM, COMPRIMENTO 13 MM</t>
  </si>
  <si>
    <t>h</t>
  </si>
  <si>
    <t>Mão de Obra</t>
  </si>
  <si>
    <t xml:space="preserve"> 00020078 </t>
  </si>
  <si>
    <t>PASTA LUBRIFICANTE PARA TUBOS E CONEXOES COM JUNTA ELASTICA, EMBALAGEM DE *400* GR (USO EM PVC, ACO, POLIETILENO E OUTROS)</t>
  </si>
  <si>
    <t xml:space="preserve"> 92022 </t>
  </si>
  <si>
    <t>INTERRUPTOR SIMPLES (1 MÓDULO) COM 1 TOMADA DE EMBUTIR 2P+T 10 A, SEM SUPORTE E SEM PLACA - FORNECIMENTO E INSTALAÇÃO. AF_03/2023</t>
  </si>
  <si>
    <t>ESQUADRIAS DE MADEIRA</t>
  </si>
  <si>
    <t xml:space="preserve"> 86879 </t>
  </si>
  <si>
    <t>ASTU - ASSENTAMENTO DE TUBOS E PECAS</t>
  </si>
  <si>
    <t xml:space="preserve"> 00020193 </t>
  </si>
  <si>
    <t>LOCACAO DE ANDAIME METALICO TIPO FACHADEIRO, PECAS COM APROXIMADAMENTE 1,20 M DE LARGURA E 2,0 M DE ALTURA, INCLUINDO DIAGONAIS EM X, BARRAS DE LIGACAO, SAPATAS E DEMAIS ITENS NECESSARIOS A MONTAGEM (NAO INCLUI INSTALACAO)</t>
  </si>
  <si>
    <t>Composições Principais</t>
  </si>
  <si>
    <t>cj</t>
  </si>
  <si>
    <t xml:space="preserve"> 11273 </t>
  </si>
  <si>
    <t xml:space="preserve"> 89353 </t>
  </si>
  <si>
    <t>REGISTRO DE GAVETA BRUTO, LATÃO, ROSCÁVEL, 3/4" - FORNECIMENTO E INSTALAÇÃO. AF_08/2021</t>
  </si>
  <si>
    <t xml:space="preserve"> 89356 </t>
  </si>
  <si>
    <t>TUBO, PVC, SOLDÁVEL, DN 25MM, INSTALADO EM RAMAL OU SUB-RAMAL DE ÁGUA - FORNECIMENTO E INSTALAÇÃO. AF_06/2022</t>
  </si>
  <si>
    <t>BONIFICAÇÕES E DESPESAS INDIRETAS</t>
  </si>
  <si>
    <t>Fórmula (Bonificações e Despesas Indiretas):</t>
  </si>
  <si>
    <t>CÓD</t>
  </si>
  <si>
    <t>GERAL
VALORES PROPOSTOS (%)</t>
  </si>
  <si>
    <t>EQUIPAMENTOS
VALORES PROPOSTOS (%)</t>
  </si>
  <si>
    <t>Administração Central</t>
  </si>
  <si>
    <t>AC</t>
  </si>
  <si>
    <t>Riscos</t>
  </si>
  <si>
    <t>R</t>
  </si>
  <si>
    <t>Seguros e Garantias</t>
  </si>
  <si>
    <t>SG</t>
  </si>
  <si>
    <t>Despesas Financeiras</t>
  </si>
  <si>
    <t>DF</t>
  </si>
  <si>
    <t>Lucro</t>
  </si>
  <si>
    <t>Impostos</t>
  </si>
  <si>
    <t>I</t>
  </si>
  <si>
    <t>6.1</t>
  </si>
  <si>
    <t>PIS</t>
  </si>
  <si>
    <t>6.2</t>
  </si>
  <si>
    <t>COFINS</t>
  </si>
  <si>
    <t>6.3</t>
  </si>
  <si>
    <t>ISSQN</t>
  </si>
  <si>
    <t>6.4</t>
  </si>
  <si>
    <t>CPRB</t>
  </si>
  <si>
    <t>BDI</t>
  </si>
  <si>
    <t>FONTE:</t>
  </si>
  <si>
    <t>1.</t>
  </si>
  <si>
    <t>Tribunal de Contas da União - TC 036.076/2011-2 - Acórdão Nº 2622/2013</t>
  </si>
  <si>
    <t>2.</t>
  </si>
  <si>
    <t>ISS conforme a Lei Complementar 116/2003 e a Lei 11.438/1997 da Prefeitura Municipal de São Paulo.</t>
  </si>
  <si>
    <t>3.</t>
  </si>
  <si>
    <t>NOTAS:</t>
  </si>
  <si>
    <t>Deverão ser obedecidas as legislações trabalhistas e tributária vigentes, inclusive acordos de classes, sob pena de desclassificação da Proposta de Preços;</t>
  </si>
  <si>
    <t>É de responsabilidade da proponente a adequação de todas as fórmulas utilizadas na planilha orçamentária.</t>
  </si>
  <si>
    <t>COMPOSIÇÃO ANALÍTICA DAS TAXAS DE ENCARGOS SOCIAIS</t>
  </si>
  <si>
    <t>ENCARGOS SOCIAIS SOBRE A MÃO DE OBRA</t>
  </si>
  <si>
    <t>CÓDIGO</t>
  </si>
  <si>
    <t>COM DESONERAÇÃO</t>
  </si>
  <si>
    <t>HORISTA (%)</t>
  </si>
  <si>
    <t>MENSALISTA (%)</t>
  </si>
  <si>
    <t>GRUPO A</t>
  </si>
  <si>
    <t>A1</t>
  </si>
  <si>
    <t>INSS</t>
  </si>
  <si>
    <t>A2</t>
  </si>
  <si>
    <t>SESI</t>
  </si>
  <si>
    <t>A3</t>
  </si>
  <si>
    <t>SENAI</t>
  </si>
  <si>
    <t>A4</t>
  </si>
  <si>
    <t>INCRA</t>
  </si>
  <si>
    <t>A5</t>
  </si>
  <si>
    <t>SEBRAE</t>
  </si>
  <si>
    <t>A6</t>
  </si>
  <si>
    <t>Salário Educação</t>
  </si>
  <si>
    <t>A7</t>
  </si>
  <si>
    <t>Seguro Contra Acidentes de Trabalho</t>
  </si>
  <si>
    <t>A8</t>
  </si>
  <si>
    <t>FGTS</t>
  </si>
  <si>
    <t>A9</t>
  </si>
  <si>
    <t>SECONCI</t>
  </si>
  <si>
    <t>A</t>
  </si>
  <si>
    <t>GRUPO B</t>
  </si>
  <si>
    <t>B1</t>
  </si>
  <si>
    <t>Repouso Semanal Remunerado</t>
  </si>
  <si>
    <t>Não incide</t>
  </si>
  <si>
    <t>B2</t>
  </si>
  <si>
    <t>Feriados</t>
  </si>
  <si>
    <t>B3</t>
  </si>
  <si>
    <t>Auxílio-Enfermidade</t>
  </si>
  <si>
    <t>B4</t>
  </si>
  <si>
    <t>13º Salário</t>
  </si>
  <si>
    <t>B5</t>
  </si>
  <si>
    <t>Licença Paternidade</t>
  </si>
  <si>
    <t>B6</t>
  </si>
  <si>
    <t>Faltas Justificadas</t>
  </si>
  <si>
    <t>B7</t>
  </si>
  <si>
    <t>Dias de Chuva</t>
  </si>
  <si>
    <t>B8</t>
  </si>
  <si>
    <t>Auxílo Acidente de Trabalho</t>
  </si>
  <si>
    <t>B9</t>
  </si>
  <si>
    <t>Férias Gozadas</t>
  </si>
  <si>
    <t>B10</t>
  </si>
  <si>
    <t>Salário Maternidade</t>
  </si>
  <si>
    <t>B</t>
  </si>
  <si>
    <t>GRUPO C</t>
  </si>
  <si>
    <t>C1</t>
  </si>
  <si>
    <t>Aviso Prévio Indenizado</t>
  </si>
  <si>
    <t>C2</t>
  </si>
  <si>
    <t>Aviso Prévio Trabalhado</t>
  </si>
  <si>
    <t>C3</t>
  </si>
  <si>
    <t>Férias Indenizadas</t>
  </si>
  <si>
    <t>C4</t>
  </si>
  <si>
    <t>Depósito Recisão sem justa causa</t>
  </si>
  <si>
    <t>C5</t>
  </si>
  <si>
    <t>Indenização Adicional</t>
  </si>
  <si>
    <t>C</t>
  </si>
  <si>
    <t>GRUPO D</t>
  </si>
  <si>
    <t>D1</t>
  </si>
  <si>
    <t>Reincidência de Grupo A sobre Grupo B</t>
  </si>
  <si>
    <t>D2</t>
  </si>
  <si>
    <t>Reincidência de Grupo A sobre Aviso Prévio Trabalhado e Reincidência do FGTS sobre Aviso Prévio Indenizado</t>
  </si>
  <si>
    <t>D</t>
  </si>
  <si>
    <t>TOTAL (A+B+C+D)</t>
  </si>
  <si>
    <t>SERVIÇOS PRELIMINARES E INDIRETOS</t>
  </si>
  <si>
    <t>CANTEIRO DE OBRAS</t>
  </si>
  <si>
    <t xml:space="preserve"> 1.1.1 </t>
  </si>
  <si>
    <t xml:space="preserve"> 1.1.2 </t>
  </si>
  <si>
    <t xml:space="preserve"> 1.1.3 </t>
  </si>
  <si>
    <t xml:space="preserve"> 1.1.4 </t>
  </si>
  <si>
    <t xml:space="preserve"> 1.1.5 </t>
  </si>
  <si>
    <t xml:space="preserve"> 1.1.6 </t>
  </si>
  <si>
    <t xml:space="preserve"> 1.1.7 </t>
  </si>
  <si>
    <t xml:space="preserve"> 1.1.8 </t>
  </si>
  <si>
    <t xml:space="preserve"> 1.1.9 </t>
  </si>
  <si>
    <t xml:space="preserve"> 1.1.10 </t>
  </si>
  <si>
    <t xml:space="preserve"> 05.07.040 </t>
  </si>
  <si>
    <t>MOBILIZAÇÃO E DESMOBILIZAÇÃO</t>
  </si>
  <si>
    <t xml:space="preserve"> 1.3.1 </t>
  </si>
  <si>
    <t xml:space="preserve"> 3.3.9 </t>
  </si>
  <si>
    <t xml:space="preserve"> 3.3.10 </t>
  </si>
  <si>
    <t xml:space="preserve"> CPU2100 </t>
  </si>
  <si>
    <t>ALVENARIA, VEDAÇÕES E DIVISÓRIAS</t>
  </si>
  <si>
    <t>ALVENARIA DE VEDAÇÃO</t>
  </si>
  <si>
    <t xml:space="preserve"> 4.1.1 </t>
  </si>
  <si>
    <t xml:space="preserve"> 4.1.2 </t>
  </si>
  <si>
    <t xml:space="preserve"> 4.1.3 </t>
  </si>
  <si>
    <t xml:space="preserve"> 4.1.4 </t>
  </si>
  <si>
    <t xml:space="preserve"> 4.1.5 </t>
  </si>
  <si>
    <t xml:space="preserve"> 4.1.6 </t>
  </si>
  <si>
    <t xml:space="preserve"> 4.2.1 </t>
  </si>
  <si>
    <t xml:space="preserve"> 96359 </t>
  </si>
  <si>
    <t>PAREDE COM SISTEMA EM CHAPAS DE GESSO PARA DRYWALL, USO INTERNO, COM DUAS FACES SIMPLES E ESTRUTURA METÁLICA COM GUIAS SIMPLES PARA PAREDES COM ÁREA LÍQUIDA MAIOR OU IGUAL A 6 M2, COM VÃOS. AF_07/2023_PS</t>
  </si>
  <si>
    <t xml:space="preserve"> 4.2.2 </t>
  </si>
  <si>
    <t xml:space="preserve"> 4.2.3 </t>
  </si>
  <si>
    <t xml:space="preserve"> 4.3.1 </t>
  </si>
  <si>
    <t xml:space="preserve"> 5.1.1 </t>
  </si>
  <si>
    <t>PORTAS DE MADEIRA</t>
  </si>
  <si>
    <t>ESQUADRIAS DE ALUMÍNIO</t>
  </si>
  <si>
    <t xml:space="preserve"> 5.2.1 </t>
  </si>
  <si>
    <t>PORTAS DE ALUMÍNIO</t>
  </si>
  <si>
    <t xml:space="preserve"> 5.2.2 </t>
  </si>
  <si>
    <t>JANELAS DE ALUMÍNIO</t>
  </si>
  <si>
    <t xml:space="preserve"> 5.3.1 </t>
  </si>
  <si>
    <t>ESQUADRIAS METÁLICAS</t>
  </si>
  <si>
    <t>PORTAS METÁLICAS</t>
  </si>
  <si>
    <t xml:space="preserve"> 12098 </t>
  </si>
  <si>
    <t>ACESSÓRIOS</t>
  </si>
  <si>
    <t xml:space="preserve"> 28.20.650 </t>
  </si>
  <si>
    <t xml:space="preserve"> 100709 </t>
  </si>
  <si>
    <t>DOBRADIÇA EM AÇO/FERRO, 3" X 21/2", E=1,9 A 2MM, SEN ANEL, CROMADO OU ZINCADO, TAMPA BOLA, COM PARAFUSOS. AF_12/2019</t>
  </si>
  <si>
    <t xml:space="preserve"> 112597 </t>
  </si>
  <si>
    <t>ALIZAR ALUMINIO PINTURA ELETROSTATICA BRANCA</t>
  </si>
  <si>
    <t>TELHAMENTO</t>
  </si>
  <si>
    <t>EMOP</t>
  </si>
  <si>
    <t>COMPLEMENTOS</t>
  </si>
  <si>
    <t>IMPERMEABILIZAÇÃO</t>
  </si>
  <si>
    <t xml:space="preserve"> 98556 </t>
  </si>
  <si>
    <t>IMPERMEABILIZIMPERMEABILIZAÇÃO DE SUPERFÍCIE COM ARGAMASSA POLIMÉRICA / MEMBRANA ACRÍLICA, 4 DEMÃOS, REFORÇADA COM VÉU DE POLIÉSTER (MAV). AF_09/2023</t>
  </si>
  <si>
    <t>REVESTIMENTO DE PAREDE</t>
  </si>
  <si>
    <t xml:space="preserve"> 8.1.1 </t>
  </si>
  <si>
    <t xml:space="preserve"> 8.1.2 </t>
  </si>
  <si>
    <t xml:space="preserve"> 8.1.3 </t>
  </si>
  <si>
    <t>REVESTIMENTO CERÂMICO</t>
  </si>
  <si>
    <t xml:space="preserve"> 8.2.1 </t>
  </si>
  <si>
    <t>REVESTIMENTO DE PISO INTERNO</t>
  </si>
  <si>
    <t xml:space="preserve"> 9.1.1 </t>
  </si>
  <si>
    <t xml:space="preserve"> 94995 </t>
  </si>
  <si>
    <t>EXECUÇÃO DE PASSEIO (CALÇADA) OU PISO DE CONCRETO COM CONCRETO MOLDADO IN LOCO, USINADO, ACABAMENTO CONVENCIONAL, ESPESSURA 8 CM, ARMADO. AF_08/2022</t>
  </si>
  <si>
    <t xml:space="preserve"> 9.1.2 </t>
  </si>
  <si>
    <t>GRANILITE</t>
  </si>
  <si>
    <t xml:space="preserve"> 9.2.1 </t>
  </si>
  <si>
    <t xml:space="preserve"> 9.3.1 </t>
  </si>
  <si>
    <t>RODAPÉ</t>
  </si>
  <si>
    <t>REVESTIMENTO DE PISO EXTERNO</t>
  </si>
  <si>
    <t>REVESTIMENTO DE TETO</t>
  </si>
  <si>
    <t>PAREDES</t>
  </si>
  <si>
    <t>TETO</t>
  </si>
  <si>
    <t>MARMORARIA</t>
  </si>
  <si>
    <t>LOUÇAS, METAIS E ACESSÓRIOS</t>
  </si>
  <si>
    <t>EQUIPAMENTOS</t>
  </si>
  <si>
    <t xml:space="preserve"> 15.1.1 </t>
  </si>
  <si>
    <t xml:space="preserve"> 44.03.300 </t>
  </si>
  <si>
    <t xml:space="preserve"> CPU2105 </t>
  </si>
  <si>
    <t>RALO SECO PVC QUADRADO 15x15 COM GRELHA</t>
  </si>
  <si>
    <t>LOUÇAS</t>
  </si>
  <si>
    <t xml:space="preserve"> 170124 </t>
  </si>
  <si>
    <t>IOPES</t>
  </si>
  <si>
    <t>und</t>
  </si>
  <si>
    <t>INSTALAÇÕES HIDROSSANITÁRIAS</t>
  </si>
  <si>
    <t>HIDRÁULICA</t>
  </si>
  <si>
    <t xml:space="preserve"> 17.1.1 </t>
  </si>
  <si>
    <t xml:space="preserve"> 17.1.2 </t>
  </si>
  <si>
    <t xml:space="preserve"> 17.1.3 </t>
  </si>
  <si>
    <t xml:space="preserve"> 103039 </t>
  </si>
  <si>
    <t>REGISTRO DE ESFERA, PVC, ROSCÁVEL, COM VOLANTE, 1 1/2" - FORNECIMENTO E INSTALAÇÃO. AF_08/2021</t>
  </si>
  <si>
    <t xml:space="preserve"> 17.1.4 </t>
  </si>
  <si>
    <t xml:space="preserve"> 17.1.5 </t>
  </si>
  <si>
    <t xml:space="preserve"> 17.1.6 </t>
  </si>
  <si>
    <t xml:space="preserve"> 17.1.7 </t>
  </si>
  <si>
    <t xml:space="preserve"> 17.1.8 </t>
  </si>
  <si>
    <t>CURVA 90 GRAUS, PVC, SOLDÁVEL, DN 60 MM, INSTALADO EM RESERVAÇÃO DE ÁGUA DE EDIFICAÇÃO QUE POSSUA RESERVATÓRIO DE FIBRA/FIBROCIMENTO   FORNECIMENTO E INSTALAÇÃO. AF_06/2016</t>
  </si>
  <si>
    <t xml:space="preserve"> 17.1.9 </t>
  </si>
  <si>
    <t xml:space="preserve"> 17.1.10 </t>
  </si>
  <si>
    <t xml:space="preserve"> 94662 </t>
  </si>
  <si>
    <t>ADAPTADOR CURTO COM BOLSA E ROSCA PARA REGISTRO, PVC, SOLDÁVEL, DN 50 MM X 1 1/2 , INSTALADO EM RESERVAÇÃO DE ÁGUA DE EDIFICAÇÃO QUE POSSUA RESERVATÓRIO DE FIBRA/FIBROCIMENTO   FORNECIMENTO E INSTALAÇÃO. AF_06/2016</t>
  </si>
  <si>
    <t xml:space="preserve"> 17.1.11 </t>
  </si>
  <si>
    <t xml:space="preserve"> 17.1.12 </t>
  </si>
  <si>
    <t xml:space="preserve"> 103986 </t>
  </si>
  <si>
    <t>CURVA 90 GRAUS, PVC, SOLDÁVEL, DN 50MM, INSTALADO EM RAMAL DE DISTRIBUIÇÃO DE ÁGUA - FORNECIMENTO E INSTALAÇÃO. AF_06/2022</t>
  </si>
  <si>
    <t xml:space="preserve"> 103979 </t>
  </si>
  <si>
    <t>TUBO, PVC, SOLDÁVEL, DN 50MM, INSTALADO EM RAMAL DE DISTRIBUIÇÃO DE ÁGUA - FORNECIMENTO E INSTALAÇÃO. AF_06/2022</t>
  </si>
  <si>
    <t xml:space="preserve"> 104008 </t>
  </si>
  <si>
    <t>TE DE REDUÇÃO, 90 GRAUS, PVC, SOLDÁVEL, DN 50 MM X 32 MM, INSTALADO EM RAMAL DE DISTRIBUIÇÃO DE ÁGUA - FORNECIMENTO E INSTALAÇÃO. AF_06/2022</t>
  </si>
  <si>
    <t xml:space="preserve"> 89811 </t>
  </si>
  <si>
    <t>CURVA CURTA 90 GRAUS, PVC, SERIE NORMAL, ESGOTO PREDIAL, DN 100 MM, JUNTA ELÁSTICA, FORNECIDO E INSTALADO EM PRUMADA DE ESGOTO SANITÁRIO OU VENTILAÇÃO. AF_08/2022</t>
  </si>
  <si>
    <t xml:space="preserve"> 46.05.020 </t>
  </si>
  <si>
    <t xml:space="preserve"> 92365 </t>
  </si>
  <si>
    <t>TUBO DE AÇO GALVANIZADO COM COSTURA, CLASSE MÉDIA, DN 40 (1 1/2"), CONEXÃO ROSQUEADA, INSTALADO EM REDE DE ALIMENTAÇÃO PARA HIDRANTE - FORNECIMENTO E INSTALAÇÃO. AF_10/2020</t>
  </si>
  <si>
    <t xml:space="preserve"> 92336 </t>
  </si>
  <si>
    <t>TUBO DE AÇO GALVANIZADO COM COSTURA, CLASSE MÉDIA, CONEXÃO RANHURADA, DN 65 (2 1/2"), INSTALADO EM PRUMADAS - FORNECIMENTO E INSTALAÇÃO. AF_10/2020</t>
  </si>
  <si>
    <t xml:space="preserve"> 89373 </t>
  </si>
  <si>
    <t>LUVA DE REDUÇÃO, PVC, SOLDÁVEL, DN 25MM X 20MM, INSTALADO EM RAMAL OU SUB-RAMAL DE ÁGUA - FORNECIMENTO E INSTALAÇÃO. AF_06/2022</t>
  </si>
  <si>
    <t>LUVA COM ROSCA, PVC, SOLDÁVEL, DN 50MM X 1.1/2 , INSTALADO EM PRUMADA DE ÁGUA - FORNECIMENTO E INSTALAÇÃO. AF_06/2022</t>
  </si>
  <si>
    <t xml:space="preserve"> 94656 </t>
  </si>
  <si>
    <t>ADAPTADOR CURTO COM BOLSA E ROSCA PARA REGISTRO, PVC, SOLDÁVEL, DN  25 MM X 3/4 , INSTALADO EM RESERVAÇÃO DE ÁGUA DE EDIFICAÇÃO QUE POSSUA RESERVATÓRIO DE FIBRA/FIBROCIMENTO   FORNECIMENTO E INSTALAÇÃO. AF_06/2016</t>
  </si>
  <si>
    <t xml:space="preserve"> 104002 </t>
  </si>
  <si>
    <t xml:space="preserve"> 103966 </t>
  </si>
  <si>
    <t>BUCHA DE REDUÇÃO, LONGA, PVC, SOLDÁVEL, DN 50 X 25 MM, INSTALADO EM PRUMADA DE ÁGUA - FORNECIMENTO E INSTALAÇÃO. AF_06/2022</t>
  </si>
  <si>
    <t xml:space="preserve"> 89489 </t>
  </si>
  <si>
    <t>CURVA 90 GRAUS, PVC, SOLDÁVEL, DN 25MM, INSTALADO EM PRUMADA DE ÁGUA - FORNECIMENTO E INSTALAÇÃO. AF_06/2022</t>
  </si>
  <si>
    <t xml:space="preserve"> 89384 </t>
  </si>
  <si>
    <t>CURVA DE TRANSPOSIÇÃO, PVC, SOLDÁVEL, DN 25MM, INSTALADO EM RAMAL OU SUB-RAMAL DE ÁGUA   FORNECIMENTO E INSTALAÇÃO. AF_06/2022</t>
  </si>
  <si>
    <t xml:space="preserve"> 89530 </t>
  </si>
  <si>
    <t>LUVA DE CORRER, PVC, SOLDÁVEL, DN 25MM, INSTALADO EM PRUMADA DE ÁGUA - FORNECIMENTO E INSTALAÇÃO. AF_06/2022</t>
  </si>
  <si>
    <t xml:space="preserve"> 89577 </t>
  </si>
  <si>
    <t>LUVA DE CORRER, PVC, SOLDÁVEL, DN 50MM, INSTALADO EM PRUMADA DE ÁGUA - FORNECIMENTO E INSTALAÇÃO. AF_06/2022</t>
  </si>
  <si>
    <t>BUCHA DE REDUÇÃO, CURTA, PVC, SOLDÁVEL, DN 32 X 25 MM, INSTALADO EM RAMAL OU SUB-RAMAL DE ÁGUA - FORNECIMENTO E INSTALAÇÃO. AF_06/2022</t>
  </si>
  <si>
    <t xml:space="preserve"> 89415 </t>
  </si>
  <si>
    <t>CURVA 90 GRAUS, PVC, SOLDÁVEL, DN 32MM, INSTALADO EM RAMAL DE DISTRIBUIÇÃO DE ÁGUA - FORNECIMENTO E INSTALAÇÃO. AF_06/2022</t>
  </si>
  <si>
    <t xml:space="preserve"> 89357 </t>
  </si>
  <si>
    <t>TUBO, PVC, SOLDÁVEL, DN 32MM, INSTALADO EM RAMAL OU SUB-RAMAL DE ÁGUA - FORNECIMENTO E INSTALAÇÃO. AF_06/2022</t>
  </si>
  <si>
    <t>TÊ DE REDUÇÃO, PVC, SOLDÁVEL, DN 32MM X 25MM, INSTALADO EM RAMAL OU SUB-RAMAL DE ÁGUA - FORNECIMENTO E INSTALAÇÃO. AF_06/2022</t>
  </si>
  <si>
    <t xml:space="preserve"> 48.02.300 </t>
  </si>
  <si>
    <t xml:space="preserve"> 17.2.1 </t>
  </si>
  <si>
    <t xml:space="preserve"> 17.2.2 </t>
  </si>
  <si>
    <t xml:space="preserve"> 17.2.3 </t>
  </si>
  <si>
    <t xml:space="preserve"> 86882 </t>
  </si>
  <si>
    <t xml:space="preserve"> 104063 </t>
  </si>
  <si>
    <t>CURVA LONGA, 45 GRAUS, PVC OCRE, JUNTA ELÁSTICA, DN 100 MM, PARA COLETOR PREDIAL DE ESGOTO. AF_06/2022</t>
  </si>
  <si>
    <t xml:space="preserve"> 89732 </t>
  </si>
  <si>
    <t>JOELHO 45 GRAUS, PVC, SERIE NORMAL, ESGOTO PREDIAL, DN 50 MM, JUNTA ELÁSTICA, FORNECIDO E INSTALADO EM RAMAL DE DESCARGA OU RAMAL DE ESGOTO SANITÁRIO. AF_08/2022</t>
  </si>
  <si>
    <t xml:space="preserve"> 89739 </t>
  </si>
  <si>
    <t>JOELHO 45 GRAUS, PVC, SERIE NORMAL, ESGOTO PREDIAL, DN 75 MM, JUNTA ELÁSTICA, FORNECIDO E INSTALADO EM RAMAL DE DESCARGA OU RAMAL DE ESGOTO SANITÁRIO. AF_08/2022</t>
  </si>
  <si>
    <t xml:space="preserve"> 104345 </t>
  </si>
  <si>
    <t>JUNÇÃO DE REDUÇÃO INVERTIDA, PVC, SÉRIE NORMAL, ESGOTO PREDIAL, DN 100 X 50 MM, JUNTA ELÁSTICA, FORNECIDO E INSTALADO EM RAMAL DE DESCARGA OU RAMAL DE ESGOTO SANITÁRIO. AF_08/2022</t>
  </si>
  <si>
    <t xml:space="preserve"> 89783 </t>
  </si>
  <si>
    <t>JUNÇÃO SIMPLES, PVC, SERIE NORMAL, ESGOTO PREDIAL, DN 40 MM, JUNTA SOLDÁVEL, FORNECIDO E INSTALADO EM RAMAL DE DESCARGA OU RAMAL DE ESGOTO SANITÁRIO. AF_08/2022</t>
  </si>
  <si>
    <t>JUNÇÃO SIMPLES, PVC, SERIE NORMAL, ESGOTO PREDIAL, DN 75 X 75 MM, JUNTA ELÁSTICA, FORNECIDO E INSTALADO EM RAMAL DE DESCARGA OU RAMAL DE ESGOTO SANITÁRIO. AF_08/2022</t>
  </si>
  <si>
    <t xml:space="preserve"> 46.03.050 </t>
  </si>
  <si>
    <t xml:space="preserve"> 46.03.038 </t>
  </si>
  <si>
    <t xml:space="preserve"> 46.03.040 </t>
  </si>
  <si>
    <t xml:space="preserve"> 46.01.040 </t>
  </si>
  <si>
    <t xml:space="preserve"> 46.02.010 </t>
  </si>
  <si>
    <t xml:space="preserve"> 46.03.080 </t>
  </si>
  <si>
    <t xml:space="preserve"> 1595 </t>
  </si>
  <si>
    <t>Vedação para saída de vaso sanitário em  pvc rígido soldável, para esgoto primário, diâm = 100mm</t>
  </si>
  <si>
    <t>PLUVIAL</t>
  </si>
  <si>
    <t xml:space="preserve"> 90696 </t>
  </si>
  <si>
    <t>TUBO DE PVC PARA REDE COLETORA DE ESGOTO DE PAREDE MACIÇA, DN 200 MM, JUNTA ELÁSTICA - FORNECIMENTO E ASSENTAMENTO. AF_01/2021</t>
  </si>
  <si>
    <t>PREVENÇÃO E COMBATE A INCÊNDIO (PCI)</t>
  </si>
  <si>
    <t xml:space="preserve"> 12888 </t>
  </si>
  <si>
    <t>Placa de sinalizacao, fotoluminescente, em pvc , com logotipo "Extintor de incêndio portátil"- Placa E5</t>
  </si>
  <si>
    <t xml:space="preserve"> 97.02.210 </t>
  </si>
  <si>
    <t xml:space="preserve"> 11853 </t>
  </si>
  <si>
    <t>Placa de sinalizacao de seguranca contra incendio, fotoluminescente, retangular, *20 x 40* cm, em pvc *2* mm anti-chamas (simbolos, cores e pictogramas conforme nbr 13434)</t>
  </si>
  <si>
    <t>INSTALAÇÕES ELÉTRICAS</t>
  </si>
  <si>
    <t>INFRAESTRUTURA</t>
  </si>
  <si>
    <t xml:space="preserve"> 92868 </t>
  </si>
  <si>
    <t>CAIXA RETANGULAR 4" X 2" MÉDIA (1,30 M DO PISO), METÁLICA, INSTALADA EM PAREDE - FORNECIMENTO E INSTALAÇÃO. AF_03/2023</t>
  </si>
  <si>
    <t xml:space="preserve"> 063445 </t>
  </si>
  <si>
    <t>LEITOS - PORCA E ARRUELA 1/4""</t>
  </si>
  <si>
    <t xml:space="preserve"> 063444 </t>
  </si>
  <si>
    <t>LEITOS - PORCA E ARRUELA 3/8""</t>
  </si>
  <si>
    <t xml:space="preserve"> 040395 </t>
  </si>
  <si>
    <t xml:space="preserve"> 063111 </t>
  </si>
  <si>
    <t>PARAFUSO LENTILHA 42x13mm COM PORCA E ARRUELA</t>
  </si>
  <si>
    <t xml:space="preserve"> 078583 </t>
  </si>
  <si>
    <t>SUPORTE PARA FIXACAO FITA ALUMINIO OU CABO COBRE NU</t>
  </si>
  <si>
    <t xml:space="preserve"> 062690 </t>
  </si>
  <si>
    <t>VERGALHAO ACO GALV C/OM ROSCA TOTAL PARA PERFILADO 1/4""</t>
  </si>
  <si>
    <t xml:space="preserve"> 061462 </t>
  </si>
  <si>
    <t>CAIXA DE PASSAGEM DE ACO C/ TAMPA APARAFUSADA 302X302X120</t>
  </si>
  <si>
    <t xml:space="preserve"> 91953 </t>
  </si>
  <si>
    <t>INTERRUPTOR SIMPLES (1 MÓDULO), 10A/250V, INCLUINDO SUPORTE E PLACA - FORNECIMENTO E INSTALAÇÃO. AF_03/2023</t>
  </si>
  <si>
    <t xml:space="preserve"> 059208 </t>
  </si>
  <si>
    <t>PLACA COM UM FURO IMPERIA BRANCO IRIEL P/ SAIDA CABO DE SOM</t>
  </si>
  <si>
    <t xml:space="preserve"> 062568 </t>
  </si>
  <si>
    <t>PLACA (ESPELHO) 1 POSTO HORIZONTAL 4x2 PIAL PLUS</t>
  </si>
  <si>
    <t xml:space="preserve"> 91996 </t>
  </si>
  <si>
    <t>TOMADA MÉDIA DE EMBUTIR (1 MÓDULO), 2P+T 10 A, INCLUINDO SUPORTE E PLACA - FORNECIMENTO E INSTALAÇÃO. AF_03/2023</t>
  </si>
  <si>
    <t>TOMADA MÉDIA DE EMBUTIR (2 MÓDULOS), 2P+T 10 A, SEM SUPORTE E SEM PLACA - FORNECIMENTO E INSTALAÇÃO. AF_03/2023</t>
  </si>
  <si>
    <t xml:space="preserve"> 92003 </t>
  </si>
  <si>
    <t>TOMADA MÉDIA DE EMBUTIR (2 MÓDULOS), 2P+T 20 A, SEM SUPORTE E SEM PLACA - FORNECIMENTO E INSTALAÇÃO. AF_03/2023</t>
  </si>
  <si>
    <t xml:space="preserve"> 91994 </t>
  </si>
  <si>
    <t>TOMADA MÉDIA DE EMBUTIR (1 MÓDULO), 2P+T 10 A, SEM SUPORTE E SEM PLACA - FORNECIMENTO E INSTALAÇÃO. AF_03/2023</t>
  </si>
  <si>
    <t xml:space="preserve"> 91995 </t>
  </si>
  <si>
    <t>TOMADA MÉDIA DE EMBUTIR (1 MÓDULO), 2P+T 20 A, SEM SUPORTE E SEM PLACA - FORNECIMENTO E INSTALAÇÃO. AF_03/2023</t>
  </si>
  <si>
    <t xml:space="preserve"> 101895 </t>
  </si>
  <si>
    <t>DISJUNTOR TERMOMAGNÉTICO TRIPOLAR , CORRENTE NOMINAL DE 125A - FORNECIMENTO E INSTALAÇÃO. AF_10/2020</t>
  </si>
  <si>
    <t xml:space="preserve"> 064563 </t>
  </si>
  <si>
    <t>DISPOSITIVO PROTETOR DE SURTO 220V OU 127V, 20 KA, TRIFASICO</t>
  </si>
  <si>
    <t xml:space="preserve"> 063612 </t>
  </si>
  <si>
    <t>SAIDA HORIZONTAL PARA ELETROCALHA 1 1/4""</t>
  </si>
  <si>
    <t xml:space="preserve"> 91837 </t>
  </si>
  <si>
    <t>ELETRODUTO FLEXÍVEL CORRUGADO REFORÇADO, PVC, DN 32 MM (1"), PARA CIRCUITOS TERMINAIS, INSTALADO EM FORRO - FORNECIMENTO E INSTALAÇÃO. AF_03/2023</t>
  </si>
  <si>
    <t xml:space="preserve"> 91835 </t>
  </si>
  <si>
    <t>ELETRODUTO FLEXÍVEL CORRUGADO REFORÇADO, PVC, DN 25 MM (3/4"), PARA CIRCUITOS TERMINAIS, INSTALADO EM FORRO - FORNECIMENTO E INSTALAÇÃO. AF_03/2023</t>
  </si>
  <si>
    <t>ELETRODUTO RÍGIDO ROSCÁVEL, PVC, DN 50 MM (1 1/2"), PARA REDE ENTERRADA DE DISTRIBUIÇÃO DE ENERGIA ELÉTRICA - FORNECIMENTO E INSTALAÇÃO. AF_12/2021</t>
  </si>
  <si>
    <t xml:space="preserve"> 91865 </t>
  </si>
  <si>
    <t>ELETRODUTO RÍGIDO ROSCÁVEL, PVC, DN 40 MM (1 1/4"), PARA CIRCUITOS TERMINAIS, INSTALADO EM FORRO - FORNECIMENTO E INSTALAÇÃO. AF_03/2023</t>
  </si>
  <si>
    <t xml:space="preserve"> 93009 </t>
  </si>
  <si>
    <t>ELETRODUTO RÍGIDO ROSCÁVEL, PVC, DN 60 MM (2"), PARA REDE ENTERRADA DE DISTRIBUIÇÃO DE ENERGIA ELÉTRICA - FORNECIMENTO E INSTALAÇÃO. AF_12/2021</t>
  </si>
  <si>
    <t xml:space="preserve"> 8662 </t>
  </si>
  <si>
    <t>Soquete ou bocal de porcelana E27 de tempo, ref.MT-2233, marca Decorlux ou similar</t>
  </si>
  <si>
    <t xml:space="preserve"> 101801 </t>
  </si>
  <si>
    <t>CAIXA COM GRELHA RETANGULAR DE FERRO FUNDIDO, EM ALVENARIA COM BLOCOS DE CONCRETO, DIMENSÕES INTERNAS: 0,30 X 1,00 X 1,00. AF_12/2020</t>
  </si>
  <si>
    <t xml:space="preserve"> 41.31.040 </t>
  </si>
  <si>
    <t xml:space="preserve"> 50.05.312 </t>
  </si>
  <si>
    <t>SPDA</t>
  </si>
  <si>
    <t xml:space="preserve"> 98111 </t>
  </si>
  <si>
    <t>CAIXA DE INSPEÇÃO PARA ATERRAMENTO, CIRCULAR, EM POLIETILENO, DIÂMETRO INTERNO = 0,3 M. AF_12/2020</t>
  </si>
  <si>
    <t xml:space="preserve"> 96988 </t>
  </si>
  <si>
    <t>MASTRO 1 ½", COM 3 METROS, PARA SPDA - FORNECIMENTO E INSTALAÇÃO. AF_08/2023</t>
  </si>
  <si>
    <t xml:space="preserve"> 104746 </t>
  </si>
  <si>
    <t>MINI CAPTOR PARA SPDA - FORNECIMENTO E INSTALAÇÃO. AF_08/2023</t>
  </si>
  <si>
    <t xml:space="preserve"> 96984 </t>
  </si>
  <si>
    <t>ELETRODUTO PVC RÍGIDO, DIÂMETRO 40MM, COM 3 METROS, PARA SPDA - FORNECIMENTO E INSTALAÇÃO. AF_08/2023</t>
  </si>
  <si>
    <t xml:space="preserve"> 101548 </t>
  </si>
  <si>
    <t>ISOLADOR, TIPO ROLDANA, PARA BAIXA TENSÃO - FORNECIMENTO E INSTALAÇÃO. AF_07/2020</t>
  </si>
  <si>
    <t xml:space="preserve"> 69.20.340 </t>
  </si>
  <si>
    <t xml:space="preserve"> 97330 </t>
  </si>
  <si>
    <t xml:space="preserve"> 91179 </t>
  </si>
  <si>
    <t>FIXAÇÃO DE TUBOS HORIZONTAIS DE PVC ÁGUA/PVC ESGOTO/PVC PLUVIAL/CPVC/PPR/COBRE OU AÇO, DIÂMETROS MENORES OU IGUAIS A 40 MM, COM ABRAÇADEIRA METÁLICA RÍGIDA TIPO  D  COM PARAFUSO DE FIXAÇÃO 1 1/4", FIXADA DIRETAMENTE NA LAJE OU PAREDE. AF_09/2023</t>
  </si>
  <si>
    <t>URBANIZAÇÃO</t>
  </si>
  <si>
    <t xml:space="preserve"> 104658 </t>
  </si>
  <si>
    <t>SINALIZAÇÃO</t>
  </si>
  <si>
    <t>SERVIÇOS COMPLEMENTARES</t>
  </si>
  <si>
    <t xml:space="preserve"> 000386 </t>
  </si>
  <si>
    <t>SOLUCAO LIMPADORA PARA PVC EMBALAGEM 200cc</t>
  </si>
  <si>
    <t xml:space="preserve"> 003389 </t>
  </si>
  <si>
    <t>ADESIVO PARA PVC bisnaga de 75 gramas</t>
  </si>
  <si>
    <t xml:space="preserve"> 00021059 </t>
  </si>
  <si>
    <t>RALO FOFO COM REQUADRO, QUADRADO 150 X 150 MM</t>
  </si>
  <si>
    <t xml:space="preserve"> 00000306 </t>
  </si>
  <si>
    <t>ANEL BORRACHA, PARA TUBO PVC, REDE COLETOR ESGOTO, DN 200 MM (NBR 7362)</t>
  </si>
  <si>
    <t>O valor do CPRB foi considerado baseado na Instrução Normativa nº 2053, de 6 de Dezembro de 2021, onde desde Dezembro de 2015 o percentual passa a ser 4,5% e não mais 2,0%. Essa recomendação aplica-se para orçamentos de Construção Civil para os enquadrados nos grupos 412, 432, 433 e 439 da CNAE 2.0.
A edificação objeto desta composição se enquadra no grupo 412:4120-4/00 - CLINICAS, HOSPITAIS, CONSTRUÇÃO OU REFORMA.</t>
  </si>
  <si>
    <t>REMOÇÃO DE ENTULHO SEPARADO DE OBRA COM CAÇAMBA METÁLICA - TERRA, ALVENARIA, CONCRETO, ARGAMASSA, MADEIRA, PAPEL, PLÁSTICO OU METAL</t>
  </si>
  <si>
    <t xml:space="preserve"> 1.2 </t>
  </si>
  <si>
    <t xml:space="preserve"> 1.2.1 </t>
  </si>
  <si>
    <t xml:space="preserve"> 96544 </t>
  </si>
  <si>
    <t xml:space="preserve"> 2.14 </t>
  </si>
  <si>
    <t xml:space="preserve"> 2.15 </t>
  </si>
  <si>
    <t>PUXADOR DUPLO EM AÇO INOXIDÁVEL, PARA PORTA DE MADEIRA, ALUMÍNIO OU VIDRO, DE 350 MM</t>
  </si>
  <si>
    <t>TORNEIRA CLÍNICA COM VOLANTE TIPO ALAVANCA</t>
  </si>
  <si>
    <t>LAVATÓRIO DE CANTO REF. L101 DECA OU EQUIVALENTE, INCLUSIVE VÁLVULA, SIFÃO E ENGATES CROMADOS, EXCLUSIVE TORNEIRA</t>
  </si>
  <si>
    <t>TUBO PVC RÍGIDO, TIPO COLETOR ESGOTO, JUNTA ELÁSTICA, DN= 100 MM, INCLUSIVE CONEXÕES</t>
  </si>
  <si>
    <t>RESERVATÓRIO EM POLIETILENO DE ALTA DENSIDADE (CISTERNA) COM ANTIOXIDANTE E PROTEÇÃO CONTRA RAIOS ULTRAVIOLETA (UV) - CAPACIDADE DE 5.000 LITROS</t>
  </si>
  <si>
    <t>TUBO DE PVC RÍGIDO PXB COM VIROLA E ANEL DE BORRACHA, LINHA ESGOTO SÉRIE REFORÇADA ´R´, DN= 100 MM, INCLUSIVE CONEXÕES</t>
  </si>
  <si>
    <t>TUBO DE PVC RÍGIDO PXB COM VIROLA E ANEL DE BORRACHA, LINHA ESGOTO SÉRIE REFORÇADA ´R´, DN= 50 MM, INCLUSIVE CONEXÕES</t>
  </si>
  <si>
    <t>TUBO DE PVC RÍGIDO PXB COM VIROLA E ANEL DE BORRACHA, LINHA ESGOTO SÉRIE REFORÇADA ´R´, DN= 75 MM, INCLUSIVE CONEXÕES</t>
  </si>
  <si>
    <t>TUBO DE PVC RÍGIDO SOLDÁVEL MARROM, DN= 40 MM, (1 1/4´), INCLUSIVE CONEXÕES</t>
  </si>
  <si>
    <t>TUBO DE PVC RÍGIDO BRANCO, PONTAS LISAS, SOLDÁVEL, LINHA ESGOTO SÉRIE NORMAL, DN= 40 MM, INCLUSIVE CONEXÕES</t>
  </si>
  <si>
    <t>TUBO DE PVC RÍGIDO, PONTAS LISAS, SOLDÁVEL, LINHA ESGOTO SÉRIE REFORÇADA ´R´, DN= 40 MM, INCLUSIVE CONEXÕES</t>
  </si>
  <si>
    <t>PLACA DE SINALIZAÇÃO EM PVC PARA AMBIENTES</t>
  </si>
  <si>
    <t>PLACA DE SINALIZAÇÃO EM PVC, COM INDICAÇÃO DE PROIBIÇÃO NORMATIVA</t>
  </si>
  <si>
    <t>LUMINÁRIA LED RETANGULAR DE SOBREPOR COM DIFUSOR TRANSLÚCIDO, 4000 K, FLUXO LUMINOSO DE 3690 A 4800 LM, POTÊNCIA DE 35 W A 41 W</t>
  </si>
  <si>
    <t>BLOCO AUTÔNOMO DE ILUMINAÇÃO DE EMERGÊNCIA LED, COM AUTONOMIA MÍNIMA DE 3 HORAS, FLUXO LUMINOSO DE 2.000 ATÉ 3.000 LÚMENS, EQUIPADO COM 2 FARÓIS</t>
  </si>
  <si>
    <t>TOMADA PARA TV, TIPO PINO JACK, COM PLACA</t>
  </si>
  <si>
    <t>PAVIMENTAÇÃO E ACESSIBILIDADE</t>
  </si>
  <si>
    <t>M2/MES</t>
  </si>
  <si>
    <t>M³</t>
  </si>
  <si>
    <t xml:space="preserve"> 00011731 </t>
  </si>
  <si>
    <t>GRELHA FIXA, EM PVC BRANCA, QUADRADA, 150 X 150 MM, PARA RALOS E CAIXAS</t>
  </si>
  <si>
    <t>Laje pré-fabricada unidirecional em viga treliçada/lajota em EPS LT 16 (12 + 4), exceto capa de concreto</t>
  </si>
  <si>
    <t xml:space="preserve"> 20.3 </t>
  </si>
  <si>
    <t xml:space="preserve"> 02.02.150 </t>
  </si>
  <si>
    <t>LOCAÇÃO DE CONTAINER TIPO DEPÓSITO - ÁREA MÍNIMA DE 13,80 M²</t>
  </si>
  <si>
    <t>unxmês</t>
  </si>
  <si>
    <t xml:space="preserve"> 1.4 </t>
  </si>
  <si>
    <t xml:space="preserve"> 1.4.1 </t>
  </si>
  <si>
    <t xml:space="preserve"> 93565 </t>
  </si>
  <si>
    <t>ENGENHEIRO CIVIL DE OBRA JUNIOR COM ENCARGOS COMPLEMENTARES</t>
  </si>
  <si>
    <t xml:space="preserve"> 16.2 </t>
  </si>
  <si>
    <t xml:space="preserve"> 110015 </t>
  </si>
  <si>
    <t>PORTA COMPLETA MADEIRA 1 FL.1,20x2,10m-INTERNA</t>
  </si>
  <si>
    <t xml:space="preserve"> 104350 </t>
  </si>
  <si>
    <t>JUNÇÃO DE REDUÇÃO INVERTIDA, PVC, SÉRIE NORMAL, ESGOTO PREDIAL, DN 75 X 50 MM, JUNTA ELÁSTICA, FORNECIDO E INSTALADO EM PRUMADA DE ESGOTO SANITÁRIO OU VENTILAÇÃO. AF_08/2022</t>
  </si>
  <si>
    <t>ADMINISTRAÇÃO LOCAL DA OBRA</t>
  </si>
  <si>
    <t xml:space="preserve"> 10783 </t>
  </si>
  <si>
    <t>Cobogo de cimento (elemento vazado, circular), 30 x 30 x 5cm, assentado com argamassa de cimento e areia</t>
  </si>
  <si>
    <t>DRYWALL</t>
  </si>
  <si>
    <t xml:space="preserve"> 5.1.2 </t>
  </si>
  <si>
    <t xml:space="preserve"> 5.3.2 </t>
  </si>
  <si>
    <t xml:space="preserve"> 5.3.3 </t>
  </si>
  <si>
    <t xml:space="preserve"> 7.1.1 </t>
  </si>
  <si>
    <t xml:space="preserve"> 7.1.1.1 </t>
  </si>
  <si>
    <t xml:space="preserve"> 7.1.1.2 </t>
  </si>
  <si>
    <t xml:space="preserve"> 7.1.1.3 </t>
  </si>
  <si>
    <t xml:space="preserve"> 7.1.1.4 </t>
  </si>
  <si>
    <t xml:space="preserve"> 7.2.1 </t>
  </si>
  <si>
    <t xml:space="preserve"> 7.2.1.1 </t>
  </si>
  <si>
    <t xml:space="preserve"> 7.2.1.2 </t>
  </si>
  <si>
    <t xml:space="preserve"> 7.2.1.3 </t>
  </si>
  <si>
    <t xml:space="preserve"> 7.2.1.4 </t>
  </si>
  <si>
    <t xml:space="preserve"> 7.2.2 </t>
  </si>
  <si>
    <t xml:space="preserve"> 7.2.2.1 </t>
  </si>
  <si>
    <t xml:space="preserve"> 7.2.2.2 </t>
  </si>
  <si>
    <t xml:space="preserve"> 7.2.2.3 </t>
  </si>
  <si>
    <t xml:space="preserve"> 7.3.1 </t>
  </si>
  <si>
    <t xml:space="preserve"> 7.3.1.1 </t>
  </si>
  <si>
    <t xml:space="preserve"> 7.4 </t>
  </si>
  <si>
    <t xml:space="preserve"> 7.4.1 </t>
  </si>
  <si>
    <t xml:space="preserve"> 7.4.2 </t>
  </si>
  <si>
    <t xml:space="preserve"> 7.4.3 </t>
  </si>
  <si>
    <t xml:space="preserve"> 7.4.4 </t>
  </si>
  <si>
    <t xml:space="preserve"> 7.4.5 </t>
  </si>
  <si>
    <t xml:space="preserve"> 7.4.6 </t>
  </si>
  <si>
    <t xml:space="preserve"> 7.4.7 </t>
  </si>
  <si>
    <t xml:space="preserve"> 140560 </t>
  </si>
  <si>
    <t>MOLA AEREA COM CALHA/BRACO DESLIZANTE</t>
  </si>
  <si>
    <t xml:space="preserve"> 28.01.550 </t>
  </si>
  <si>
    <t>FECHADURA COM MAÇANETA TIPO ALAVANCA EM AÇO INOXIDÁVEL, PARA PORTA EXTERNA</t>
  </si>
  <si>
    <t xml:space="preserve"> 110108 </t>
  </si>
  <si>
    <t>GUICHE COM REQUADRO EM MADEIRA DE LEI - VASADO</t>
  </si>
  <si>
    <t xml:space="preserve"> 44.01.040 </t>
  </si>
  <si>
    <t xml:space="preserve"> 86939 </t>
  </si>
  <si>
    <t>LAVATÓRIO LOUÇA BRANCA COM COLUNA, *44 X 35,5* CM, PADRÃO POPULAR, INCLUSO SIFÃO FLEXÍVEL EM PVC, VÁLVULA E ENGATE FLEXÍVEL 30CM EM PLÁSTICO E COM TORNEIRA CROMADA PADRÃO POPULAR - FORNECIMENTO E INSTALAÇÃO. AF_01/2020</t>
  </si>
  <si>
    <t>METAIS E ACESSÓRIOS</t>
  </si>
  <si>
    <t xml:space="preserve"> 44.02.200 </t>
  </si>
  <si>
    <t>TAMPO/BANCADA EM CONCRETO ARMADO, REVESTIDO EM AÇO INOXIDÁVEL FOSCO POLIDO</t>
  </si>
  <si>
    <t xml:space="preserve"> 13262 </t>
  </si>
  <si>
    <t>Funil Expurgo Hospitalar de aço inox 304  290x300mm e= 0,8mm Sem mesa para embutir - Mirnox ou similar</t>
  </si>
  <si>
    <t xml:space="preserve"> 44.03.316 </t>
  </si>
  <si>
    <t>TORNEIRA MISTURADOR CLÍNICA DE MESA COM AREJADOR ARTICULADO, ACIONAMENTO COTOVELO</t>
  </si>
  <si>
    <t xml:space="preserve"> 11747 </t>
  </si>
  <si>
    <t xml:space="preserve"> 16.1.1 </t>
  </si>
  <si>
    <t xml:space="preserve"> 16.1.2 </t>
  </si>
  <si>
    <t xml:space="preserve"> 16.2.1 </t>
  </si>
  <si>
    <t xml:space="preserve"> 16.2.2 </t>
  </si>
  <si>
    <t xml:space="preserve"> 16.2.3 </t>
  </si>
  <si>
    <t xml:space="preserve"> 054668 </t>
  </si>
  <si>
    <t>ACOPLAMENTO RANHURADO EM FERRO FUNDIDO DN 60,3mm 2""</t>
  </si>
  <si>
    <t xml:space="preserve"> 45.03.110 </t>
  </si>
  <si>
    <t>HIDRÔMETRO EM BRONZE, DIÂMETRO DE 40 MM (1 1/2´)</t>
  </si>
  <si>
    <t xml:space="preserve"> CPU2194 </t>
  </si>
  <si>
    <t>PRESSURIZADOR DE ÁGUA MAX PRESS 270 VF MONOFASICO 220V</t>
  </si>
  <si>
    <t xml:space="preserve"> 46.05.040 </t>
  </si>
  <si>
    <t>TUBO PVC RÍGIDO, TIPO COLETOR ESGOTO, JUNTA ELÁSTICA, DN= 150 MM, INCLUSIVE CONEXÕES</t>
  </si>
  <si>
    <t xml:space="preserve"> 3234 </t>
  </si>
  <si>
    <t xml:space="preserve"> 12884 </t>
  </si>
  <si>
    <t>Placa de sinalizacao, fotoluminescente, 38x19 cm, em pvc , com seta indicativa de sentido (esquerda ou direita) de saída de emergência- Placa S2</t>
  </si>
  <si>
    <t xml:space="preserve"> 10785 </t>
  </si>
  <si>
    <t>Abrigo de sobrepor em chapa de aço carbono pintado com tinta a base de epoxi vermelha, dimensões 75x35x25cm</t>
  </si>
  <si>
    <t xml:space="preserve"> 160612 </t>
  </si>
  <si>
    <t xml:space="preserve"> 05.054.0115-0 </t>
  </si>
  <si>
    <t xml:space="preserve"> 8732 </t>
  </si>
  <si>
    <t>Central manifold para cilindros 1 x 1para oxigênio, ar comprimido e óxido nitroso com serpentina e sem válvula de alta pressão</t>
  </si>
  <si>
    <t xml:space="preserve"> 6701060 </t>
  </si>
  <si>
    <t xml:space="preserve"> 14.2 </t>
  </si>
  <si>
    <t xml:space="preserve"> 18.050.0120-0 </t>
  </si>
  <si>
    <t xml:space="preserve"> 91935 </t>
  </si>
  <si>
    <t>CABO DE COBRE FLEXÍVEL ISOLADO, 16 MM², ANTI-CHAMA 0,6/1,0 KV, PARA CIRCUITOS TERMINAIS - FORNECIMENTO E INSTALAÇÃO. AF_03/2023</t>
  </si>
  <si>
    <t xml:space="preserve"> 92984 </t>
  </si>
  <si>
    <t>CABO DE COBRE FLEXÍVEL ISOLADO, 25 MM², ANTI-CHAMA 0,6/1,0 KV, PARA REDE ENTERRADA DE DISTRIBUIÇÃO DE ENERGIA ELÉTRICA - FORNECIMENTO E INSTALAÇÃO. AF_12/2021</t>
  </si>
  <si>
    <t xml:space="preserve"> 92988 </t>
  </si>
  <si>
    <t>CABO DE COBRE FLEXÍVEL ISOLADO, 50 MM², ANTI-CHAMA 0,6/1,0 KV, PARA REDE ENTERRADA DE DISTRIBUIÇÃO DE ENERGIA ELÉTRICA - FORNECIMENTO E INSTALAÇÃO. AF_12/2021</t>
  </si>
  <si>
    <t xml:space="preserve"> 93661 </t>
  </si>
  <si>
    <t>DISJUNTOR BIPOLAR TIPO DIN, CORRENTE NOMINAL DE 16A - FORNECIMENTO E INSTALAÇÃO. AF_10/2020</t>
  </si>
  <si>
    <t xml:space="preserve"> 93664 </t>
  </si>
  <si>
    <t>DISJUNTOR BIPOLAR TIPO DIN, CORRENTE NOMINAL DE 32A - FORNECIMENTO E INSTALAÇÃO. AF_10/2020</t>
  </si>
  <si>
    <t xml:space="preserve"> 93653 </t>
  </si>
  <si>
    <t>DISJUNTOR MONOPOLAR TIPO DIN, CORRENTE NOMINAL DE 10A - FORNECIMENTO E INSTALAÇÃO. AF_10/2020</t>
  </si>
  <si>
    <t xml:space="preserve"> 15.005.0280-0 </t>
  </si>
  <si>
    <t xml:space="preserve"> 070665 </t>
  </si>
  <si>
    <t>DUTO FLEXIVEL DE ALUMINIO C/ ISOLAM. TERM.LA VIDRO 150MM 6""</t>
  </si>
  <si>
    <t xml:space="preserve"> 90460 </t>
  </si>
  <si>
    <t>SUPORTE PARA 2 TUBOS HORIZONTAIS, ESPAÇADO A CADA 56 CM, EM PERFILADO COM COMPRIMENTO DE 25 CM FIXADO EM LAJE, POR METRO DE TUBULAÇÃO FIXADA. AF_09/2023</t>
  </si>
  <si>
    <t xml:space="preserve"> 4.2.4 </t>
  </si>
  <si>
    <t xml:space="preserve"> 1979 </t>
  </si>
  <si>
    <t>Isolamento acústico c/ painel  em lã de vidro e = 50mm (isover-santa marina ref psi - 30/50mm ou similar)</t>
  </si>
  <si>
    <t xml:space="preserve"> 12.2 </t>
  </si>
  <si>
    <t>Isolamento Acústico</t>
  </si>
  <si>
    <t xml:space="preserve"> 10.1.1 </t>
  </si>
  <si>
    <t xml:space="preserve"> 16.3 </t>
  </si>
  <si>
    <t xml:space="preserve"> 16.3.1 </t>
  </si>
  <si>
    <t>JUSTIFICATIVAS DE COMPOSIÇÕES DE PREÇO UNITÁRIO</t>
  </si>
  <si>
    <t>COMPOSIÇÃO</t>
  </si>
  <si>
    <t>COMPOSIÇÃO DE REFERÊNCIA</t>
  </si>
  <si>
    <t>JUSTIFICATIVA</t>
  </si>
  <si>
    <t xml:space="preserve">CPOS/CDHU 02.02.150 </t>
  </si>
  <si>
    <t>Utilizada composição do CPOS para São Paulo visto que o SINAPI não possui composição adequada para contemplar tal serviço.</t>
  </si>
  <si>
    <t xml:space="preserve">CPOS/CDHU 05.07.040 </t>
  </si>
  <si>
    <t>Utilizada composição do SBC para São Paulo visto que o SINAPI não possui composição adequada para contemplar tal serviço.</t>
  </si>
  <si>
    <t>Utilizada composição do ORSE visto que o SINAPI não possui composição adequada referente a esse serviço. Os preços praticados para esse serviço no estado de Sergipe são referenciais e exequíveis para o orçamento em São Paulo. Os insumos da composição ORSE que são SINAPI estão atualizados para o estado de São Paulo, portanto, somente insumos do ORSE que mantem preço na região de Sergipe.</t>
  </si>
  <si>
    <t>Utilizada composição EMOP visto que o SINAPI não possui composição adequada referente a esse serviço. Os preços praticados para esse serviço no estado do Rio de Janeiro são referenciais e exequíveis para o orçamento em São Paulo. Os insumos da composição EMOP que são SINAPI estão atualizados para o estado de São Paulo, portanto, somente insumos do EMOP que mantem preço na região do Rio de Janeiro.</t>
  </si>
  <si>
    <t xml:space="preserve">CPOS/CDHU 48.02.300 </t>
  </si>
  <si>
    <t xml:space="preserve">CPOS/CDHU 46.03.050 </t>
  </si>
  <si>
    <t xml:space="preserve">CPOS/CDHU 46.03.038 </t>
  </si>
  <si>
    <t xml:space="preserve">CPOS/CDHU 46.03.040 </t>
  </si>
  <si>
    <t xml:space="preserve">CPOS/CDHU 46.01.040 </t>
  </si>
  <si>
    <t xml:space="preserve">CPOS/CDHU 46.05.020 </t>
  </si>
  <si>
    <t xml:space="preserve">CPOS/CDHU 46.02.010 </t>
  </si>
  <si>
    <t xml:space="preserve">ORSE 1595 </t>
  </si>
  <si>
    <t xml:space="preserve">CPOS/CDHU 46.03.080 </t>
  </si>
  <si>
    <t xml:space="preserve">ORSE 12888 </t>
  </si>
  <si>
    <t xml:space="preserve">CPOS/CDHU 97.02.210 </t>
  </si>
  <si>
    <t xml:space="preserve">ORSE 12884 </t>
  </si>
  <si>
    <t xml:space="preserve">CPOS/CDHU 50.05.312 </t>
  </si>
  <si>
    <t xml:space="preserve">ORSE 10785 </t>
  </si>
  <si>
    <t xml:space="preserve">SBC 063445 </t>
  </si>
  <si>
    <t xml:space="preserve">SBC 063444 </t>
  </si>
  <si>
    <t xml:space="preserve">SBC 040395 </t>
  </si>
  <si>
    <t xml:space="preserve">SBC 063111 </t>
  </si>
  <si>
    <t xml:space="preserve">SBC 078583 </t>
  </si>
  <si>
    <t xml:space="preserve">SBC 062690 </t>
  </si>
  <si>
    <t xml:space="preserve">SBC 061462 </t>
  </si>
  <si>
    <t xml:space="preserve">SBC 059208 </t>
  </si>
  <si>
    <t xml:space="preserve">SBC 062568 </t>
  </si>
  <si>
    <t>Utilizada composição do IOPES visto que o SINAPI não possui composição adequada referente a esse serviço. Os preços praticados para esse serviço no estado de Espirito Santo são referenciais e exequíveis para o orçamento em São Paulo. Os insumos da composição Espírito Santo que são SINAPI estão atualizados para o estado de São Paulo, portanto, somente insumos do IOPES que mantem preço na região de Espírito Santo.</t>
  </si>
  <si>
    <t xml:space="preserve">SBC 063612 </t>
  </si>
  <si>
    <t xml:space="preserve">ORSE 8662 </t>
  </si>
  <si>
    <t xml:space="preserve">CPOS/CDHU 41.31.040 </t>
  </si>
  <si>
    <t xml:space="preserve">CPOS/CDHU 69.20.340 </t>
  </si>
  <si>
    <t xml:space="preserve">ORSE 11273 </t>
  </si>
  <si>
    <t xml:space="preserve">SBC 078206 </t>
  </si>
  <si>
    <t xml:space="preserve">SBC 078212 </t>
  </si>
  <si>
    <t xml:space="preserve">ORSE 12043 </t>
  </si>
  <si>
    <t xml:space="preserve">SBC 070665 </t>
  </si>
  <si>
    <t>Junção do insumo de locação de andaime m2xmês com a montagem e desmontagem do andaime em m2, sendo coeficiente de 0,416 que corresponde à 1m2 em proporção à área do andaime informado no insumo.</t>
  </si>
  <si>
    <t>Utilizada composição do SBC visto que o SINAPI não possui composição adequada para contemplar tal serviço. Alteração do insumo SBC 007506 para o insumo SINAPI 00021059</t>
  </si>
  <si>
    <t>Utilizada mão de obra de instalação do pressurizador conforme composição SBC de referência e insumo conforme cotação realizada.</t>
  </si>
  <si>
    <t xml:space="preserve">ORSE 8732 </t>
  </si>
  <si>
    <t xml:space="preserve">ORSE 10783 </t>
  </si>
  <si>
    <t xml:space="preserve">SBC 110015 </t>
  </si>
  <si>
    <t xml:space="preserve">CPOS/CDHU 28.01.550 </t>
  </si>
  <si>
    <t xml:space="preserve">SBC 110108 </t>
  </si>
  <si>
    <t xml:space="preserve">CPOS/CDHU 44.01.040 </t>
  </si>
  <si>
    <t xml:space="preserve">CPOS/CDHU 44.02.200 </t>
  </si>
  <si>
    <t xml:space="preserve">CPOS/CDHU 44.03.316 </t>
  </si>
  <si>
    <t xml:space="preserve">ORSE 11747 </t>
  </si>
  <si>
    <t xml:space="preserve">EMOP 18.050.0120-0 </t>
  </si>
  <si>
    <t xml:space="preserve">SBC 054668 </t>
  </si>
  <si>
    <t xml:space="preserve">CPOS/CDHU 45.03.110 </t>
  </si>
  <si>
    <t xml:space="preserve">CPOS/CDHU 46.05.040 </t>
  </si>
  <si>
    <t xml:space="preserve">ORSE 3234 </t>
  </si>
  <si>
    <t xml:space="preserve">ORSE 11853 </t>
  </si>
  <si>
    <t xml:space="preserve">IOPES 160612 </t>
  </si>
  <si>
    <t xml:space="preserve">EMOP 05.054.0115-0 </t>
  </si>
  <si>
    <t xml:space="preserve">SBC 064563 </t>
  </si>
  <si>
    <t xml:space="preserve">EMOP 15.005.0280-0 </t>
  </si>
  <si>
    <t xml:space="preserve"> CPU1942 </t>
  </si>
  <si>
    <t>PAREDE COM SISTEMA EM CHAPAS DE GESSO RU PARA DRYWALL, USO INTERNO, COM DUAS FACES SIMPLES E ESTRUTURA METÁLICA COM GUIAS SIMPLES PARA PAREDES COM ÁREA LÍQUIDA MAIOR OU IGUAL A 6 M2, COM VÃOS. AF_07/2023_PS</t>
  </si>
  <si>
    <t xml:space="preserve"> 00039417 </t>
  </si>
  <si>
    <t>PLACA / CHAPA DE GESSO ACARTONADO, RESISTENTE A UMIDADE (RU), COR VERDE, E = 12,5 MM, 1200 X 2400 MM (L X C)</t>
  </si>
  <si>
    <t xml:space="preserve"> 86901 </t>
  </si>
  <si>
    <t>CUBA DE EMBUTIR OVAL EM LOUÇA BRANCA, 35 X 50CM OU EQUIVALENTE - FORNECIMENTO E INSTALAÇÃO. AF_01/2020</t>
  </si>
  <si>
    <t xml:space="preserve"> 44.01.850 </t>
  </si>
  <si>
    <t>CUBA DE LOUÇA DE EMBUTIR REDONDA</t>
  </si>
  <si>
    <t xml:space="preserve"> 060121 </t>
  </si>
  <si>
    <t>LUMINARIA DE EMBUTIR PLAFON 18W LED BRANCO FRIO 22,5x22,5</t>
  </si>
  <si>
    <t xml:space="preserve"> 13158 </t>
  </si>
  <si>
    <t>Luminária plafon (sobrepor) 40 x 40 - 36 W - 6000K - G- Light ou similar</t>
  </si>
  <si>
    <t>COMPOSIÇÕES ANALÍTICAS DE PREÇOS UNITÁRIOS</t>
  </si>
  <si>
    <t>SINAPI - Encargos Sociais a partir de dezembro de 2023.</t>
  </si>
  <si>
    <t>LAJES</t>
  </si>
  <si>
    <t>SINAPI 103675</t>
  </si>
  <si>
    <t>Utilizada composição de referência SINAPI e alterado o insumo 1527 para 1525 conforme especificação do projeto.</t>
  </si>
  <si>
    <t>SINAPI 103672</t>
  </si>
  <si>
    <t>SINAPI 96359</t>
  </si>
  <si>
    <t>Utilizada composição de referência SINAPI e acrescentado a composição ORSE 1979 referente ao isolamento acustico.</t>
  </si>
  <si>
    <t>Substituição do insumo de chapa de gesso ST 00039413 SINAPI pelo insumo de chapa resistente à umidade 00039417 SINAPI</t>
  </si>
  <si>
    <t>Substituição do insumo de chapa de gesso ST 00039413 SINAPI pelo insumo de chapa resistente à umidade 00039417 SINAPI e acrescentado a composição ORSE 1979 referente ao isolamento acustico.</t>
  </si>
  <si>
    <t xml:space="preserve"> 11703 </t>
  </si>
  <si>
    <t>Barracão aberto para apoio à produção (carpintaria, central de armação, oficina, etc.) c/ tesouras, telha 4mm, piso em concreto desempolado</t>
  </si>
  <si>
    <t xml:space="preserve"> 012208 </t>
  </si>
  <si>
    <t>BARRACAO PARA REFEITORIO EM OBRAS EM COMPENSADO</t>
  </si>
  <si>
    <t>KIT CAVALETE PARA MEDIÇÃO DE ÁGUA - ENTRADA INDIVIDUALIZADA, EM CPVC DN 28 MM (1"), PARA 1 MEDIDOR - FORNECIMENTO E INSTALAÇÃO (EXCLUSIVE HIDRÔMETRO). AF_03/2024</t>
  </si>
  <si>
    <t>HIDRÔMETRO DN 1/2", 1,5 M3/H - FORNECIMENTO E INSTALAÇÃO. AF_03/2024</t>
  </si>
  <si>
    <t>TAPUME COM TELHA METÁLICA. AF_03/2024</t>
  </si>
  <si>
    <t>LOCAÇÃO CONVENCIONAL DE OBRA, UTILIZANDO GABARITO DE TÁBUAS CORRIDAS PONTALETADAS A CADA 2,00M -  2 UTILIZAÇÕES. AF_03/2024</t>
  </si>
  <si>
    <t>ARMAÇÃO DE BLOCO UTILIZANDO AÇO CA-60 DE 5 MM - MONTAGEM. AF_01/2024</t>
  </si>
  <si>
    <t>ARMAÇÃO DE BLOCO UTILIZANDO AÇO CA-50 DE 6,3 MM - MONTAGEM. AF_01/2024</t>
  </si>
  <si>
    <t>ARMAÇÃO DE BLOCO UTILIZANDO AÇO CA-50 DE 8 MM - MONTAGEM. AF_01/2024</t>
  </si>
  <si>
    <t>ARMAÇÃO DE BLOCO UTILIZANDO AÇO CA-50 DE 10 MM - MONTAGEM. AF_01/2024</t>
  </si>
  <si>
    <t xml:space="preserve"> 104920 </t>
  </si>
  <si>
    <t>ARMAÇÃO DE BLOCO, SAPATA ISOLADA, VIGA BALDRAME E SAPATA CORRIDA UTILIZANDO AÇO CA-50 DE 12,5 MM - MONTAGEM. AF_01/2024</t>
  </si>
  <si>
    <t xml:space="preserve"> 104921 </t>
  </si>
  <si>
    <t>ARMAÇÃO DE BLOCO, SAPATA ISOLADA, VIGA BALDRAME E SAPATA CORRIDA UTILIZANDO AÇO CA-50 DE 16 MM - MONTAGEM. AF_01/2024</t>
  </si>
  <si>
    <t xml:space="preserve"> 92423 </t>
  </si>
  <si>
    <t>MONTAGEM E DESMONTAGEM DE FÔRMA DE PILARES RETANGULARES E ESTRUTURAS SIMILARES, PÉ-DIREITO SIMPLES, EM CHAPA DE MADEIRA COMPENSADA RESINADA, 6 UTILIZAÇÕES. AF_09/2020</t>
  </si>
  <si>
    <t xml:space="preserve"> CPU2284 </t>
  </si>
  <si>
    <t>CONCRETAGEM DE PILARES, FCK = 30 MPA, COM USO DE BOMBA - LANÇAMENTO, ADENSAMENTO E ACABAMENTO. AF_02/2022_PS</t>
  </si>
  <si>
    <t xml:space="preserve"> 92460 </t>
  </si>
  <si>
    <t>MONTAGEM E DESMONTAGEM DE FÔRMA DE VIGA, ESCORAMENTO METÁLICO, PÉ-DIREITO SIMPLES, EM CHAPA DE MADEIRA RESINADA, 6 UTILIZAÇÕES. AF_09/2020</t>
  </si>
  <si>
    <t xml:space="preserve"> CPU2283 </t>
  </si>
  <si>
    <t>CONCRETAGEM DE VIGAS E LAJES, FCK=30 MPA, PARA LAJES MACIÇAS OU NERVURADAS COM USO DE BOMBA - LANÇAMENTO, ADENSAMENTO E ACABAMENTO.</t>
  </si>
  <si>
    <t xml:space="preserve"> 92515 </t>
  </si>
  <si>
    <t>MONTAGEM E DESMONTAGEM DE FÔRMA DE LAJE MACIÇA, PÉ-DIREITO DUPLO, EM CHAPA DE MADEIRA COMPENSADA RESINADA, 6 UTILIZAÇÕES. AF_09/2020</t>
  </si>
  <si>
    <t>VERGA MOLDADA IN LOCO COM UTILIZAÇÃO DE BLOCOS CANALETA, ESPESSURA DE *20* CM. AF_03/2024</t>
  </si>
  <si>
    <t>CONTRAVERGA MOLDADA IN LOCO COM UTILIZAÇÃO DE BLOCOS CANALETA, ESPESSURA DE *20* CM. AF_03/2024</t>
  </si>
  <si>
    <t xml:space="preserve"> CPU2285 </t>
  </si>
  <si>
    <t>PAREDE COM SISTEMA EM CHAPAS DE GESSO ST PARA DRYWALL COM ISOLAMENTO ACUSTICO, USO INTERNO, COM DUAS FACES SIMPLES E ESTRUTURA METÁLICA COM GUIAS SIMPLES PARA PAREDES COM ÁREA LÍQUIDA MAIOR OU IGUAL A 6 M2, COM VÃOS.</t>
  </si>
  <si>
    <t xml:space="preserve"> CPU2286 </t>
  </si>
  <si>
    <t>PAREDE COM SISTEMA EM CHAPAS DE GESSO RU PARA DRYWALL COM ISOLAMENTO ACUSTICO, USO INTERNO, COM DUAS FACES SIMPLES E ESTRUTURA METÁLICA COM GUIAS SIMPLES PARA PAREDES COM ÁREA LÍQUIDA MAIOR OU IGUAL A 6 M2, COM VÃOS.</t>
  </si>
  <si>
    <t xml:space="preserve"> 100776 </t>
  </si>
  <si>
    <t>ESTRUTURA TRELIÇADA DE COBERTURA, TIPO ARCO, COM LIGAÇÕES PARAFUSADAS, INCLUSOS PERFIS METÁLICOS, CHAPAS METÁLICAS, MÃO DE OBRA E TRANSPORTE COM GUINDASTE - FORNECIMENTO E INSTALAÇÃO. AF_01/2020_PSA</t>
  </si>
  <si>
    <t xml:space="preserve"> 100113 </t>
  </si>
  <si>
    <t>COBERTURA EM CHAPA POLICARBONATO ALVEOLAR 10mm</t>
  </si>
  <si>
    <t xml:space="preserve"> 25.02.110 </t>
  </si>
  <si>
    <t>PORTA VENEZIANA DE ABRIR EM ALUMÍNIO, SOB MEDIDA</t>
  </si>
  <si>
    <t xml:space="preserve"> 14.003.0205-0 </t>
  </si>
  <si>
    <t>PORTA DE ALUMINIO ANODIZADO AO NATURAL,EM 2 FOLHAS DE ABRIR, TENDO 1 CONTRAPINAZIO DIVIDINDO A ESQUADRIA EM 2 VAZIOS PARA VIDRO,EM PERFIS SERIE 25,EXCLUSIVE FECHADURA.FORNECIMENTO E COLOCACAO</t>
  </si>
  <si>
    <t>Porta corta fogo, de abrir, 02 folhas, em chapa de aço galvanizado nº24, batente em chapa nº18, classe 90, isolante em manta cerâmica incombustível e=5cm,dobradiças tipo helicoidal em aço 1010/1020, e fechadura reversível sem chave</t>
  </si>
  <si>
    <t>REVESTIMENTO CERÂMICO PARA PAREDES INTERNAS COM PLACAS TIPO ESMALTADA EXTRA DE DIMENSÕES 60X60 CM APLICADAS NA ALTURA INTEIRA DAS PAREDES. AF_02/2023_PE</t>
  </si>
  <si>
    <t xml:space="preserve"> 11.1.1 </t>
  </si>
  <si>
    <t>FORRO</t>
  </si>
  <si>
    <t xml:space="preserve"> 12.1.1 </t>
  </si>
  <si>
    <t xml:space="preserve"> 12.1.2 </t>
  </si>
  <si>
    <t xml:space="preserve"> 12.1.3 </t>
  </si>
  <si>
    <t xml:space="preserve"> 12.1.4 </t>
  </si>
  <si>
    <t xml:space="preserve"> 12.2.1 </t>
  </si>
  <si>
    <t xml:space="preserve"> 12.2.2 </t>
  </si>
  <si>
    <t xml:space="preserve"> 14.1.1 </t>
  </si>
  <si>
    <t>CHUVEIRO ELÉTRICO COMUM CORPO PLÁSTICO, TIPO DUCHA - FORNECIMENTO E INSTALAÇÃO. AF_01/2020</t>
  </si>
  <si>
    <t xml:space="preserve"> 14.2.1 </t>
  </si>
  <si>
    <t xml:space="preserve"> 14.2.2 </t>
  </si>
  <si>
    <t>BACIA SIFONADA COM CAIXA DE DESCARGA ACOPLADA E TAMPA - INFANTIL</t>
  </si>
  <si>
    <t xml:space="preserve"> 14.2.3 </t>
  </si>
  <si>
    <t xml:space="preserve"> 14.2.4 </t>
  </si>
  <si>
    <t xml:space="preserve"> 14.2.5 </t>
  </si>
  <si>
    <t xml:space="preserve"> 14.2.6 </t>
  </si>
  <si>
    <t xml:space="preserve"> 14.2.7 </t>
  </si>
  <si>
    <t xml:space="preserve"> 14.3 </t>
  </si>
  <si>
    <t xml:space="preserve"> 14.3.1 </t>
  </si>
  <si>
    <t xml:space="preserve"> 14.3.2 </t>
  </si>
  <si>
    <t xml:space="preserve"> 14.3.3 </t>
  </si>
  <si>
    <t xml:space="preserve"> 86900 </t>
  </si>
  <si>
    <t>CUBA DE EMBUTIR RETANGULAR DE AÇO INOXIDÁVEL, 46 X 30 X 12 CM - FORNECIMENTO E INSTALAÇÃO. AF_01/2020</t>
  </si>
  <si>
    <t xml:space="preserve"> 14.3.4 </t>
  </si>
  <si>
    <t>TORNEIRA CROMADA 1/2" OU 3/4" PARA TANQUE, PADRÃO POPULAR - FORNECIMENTO E INSTALAÇÃO. AF_01/2020</t>
  </si>
  <si>
    <t xml:space="preserve"> 14.3.5 </t>
  </si>
  <si>
    <t xml:space="preserve"> 14.3.6 </t>
  </si>
  <si>
    <t xml:space="preserve"> 14.3.7 </t>
  </si>
  <si>
    <t xml:space="preserve"> 14.3.8 </t>
  </si>
  <si>
    <t xml:space="preserve"> 14.3.9 </t>
  </si>
  <si>
    <t xml:space="preserve"> 14.3.10 </t>
  </si>
  <si>
    <t xml:space="preserve"> 14.3.11 </t>
  </si>
  <si>
    <t xml:space="preserve"> 14.3.12 </t>
  </si>
  <si>
    <t xml:space="preserve"> 14.3.13 </t>
  </si>
  <si>
    <t xml:space="preserve"> 14.3.14 </t>
  </si>
  <si>
    <t>ESTACAO DE CHAMADA DE LEITO,COM INTERRUPTOR DE EMBUTIR COM C OMANDOS DE CHAMADAS,EMERGENCIA E PRESENCA,FIXADA SOBRE CAIXA 4"X4" EMBUTIDA NA PAREDE.FORNECIMENTO E COLOCACAO</t>
  </si>
  <si>
    <t xml:space="preserve"> 16.1.3 </t>
  </si>
  <si>
    <t xml:space="preserve"> 16.1.4 </t>
  </si>
  <si>
    <t xml:space="preserve"> 16.1.5 </t>
  </si>
  <si>
    <t xml:space="preserve"> 16.1.6 </t>
  </si>
  <si>
    <t xml:space="preserve"> 16.1.7 </t>
  </si>
  <si>
    <t xml:space="preserve"> 16.1.8 </t>
  </si>
  <si>
    <t xml:space="preserve"> 16.1.9 </t>
  </si>
  <si>
    <t xml:space="preserve"> 16.1.10 </t>
  </si>
  <si>
    <t xml:space="preserve"> 16.1.11 </t>
  </si>
  <si>
    <t xml:space="preserve"> 16.1.12 </t>
  </si>
  <si>
    <t xml:space="preserve"> 16.1.13 </t>
  </si>
  <si>
    <t xml:space="preserve"> 16.1.14 </t>
  </si>
  <si>
    <t xml:space="preserve"> 16.1.15 </t>
  </si>
  <si>
    <t xml:space="preserve"> 16.1.16 </t>
  </si>
  <si>
    <t xml:space="preserve"> 16.1.17 </t>
  </si>
  <si>
    <t xml:space="preserve"> 16.1.18 </t>
  </si>
  <si>
    <t>ADAPTADOR CURTO COM BOLSA E ROSCA PARA REGISTRO, PVC, SOLDÁVEL, DN 50MM X 1.1/4", INSTALADO EM RAMAL DE DISTRIBUIÇÃO DE ÁGUA - FORNECIMENTO E INSTALAÇÃO. AF_06/2022</t>
  </si>
  <si>
    <t xml:space="preserve"> 16.1.19 </t>
  </si>
  <si>
    <t xml:space="preserve"> 16.1.20 </t>
  </si>
  <si>
    <t xml:space="preserve"> 16.1.21 </t>
  </si>
  <si>
    <t xml:space="preserve"> 16.1.22 </t>
  </si>
  <si>
    <t xml:space="preserve"> 16.1.23 </t>
  </si>
  <si>
    <t xml:space="preserve"> 16.1.24 </t>
  </si>
  <si>
    <t xml:space="preserve"> 16.1.25 </t>
  </si>
  <si>
    <t xml:space="preserve"> 16.1.26 </t>
  </si>
  <si>
    <t xml:space="preserve"> 16.1.27 </t>
  </si>
  <si>
    <t xml:space="preserve"> 16.1.28 </t>
  </si>
  <si>
    <t xml:space="preserve"> 16.1.29 </t>
  </si>
  <si>
    <t xml:space="preserve"> 16.1.30 </t>
  </si>
  <si>
    <t xml:space="preserve"> 16.1.31 </t>
  </si>
  <si>
    <t xml:space="preserve"> 16.1.32 </t>
  </si>
  <si>
    <t xml:space="preserve"> 16.1.33 </t>
  </si>
  <si>
    <t xml:space="preserve"> 16.1.34 </t>
  </si>
  <si>
    <t xml:space="preserve"> 16.1.35 </t>
  </si>
  <si>
    <t xml:space="preserve"> 16.1.36 </t>
  </si>
  <si>
    <t xml:space="preserve"> 16.1.37 </t>
  </si>
  <si>
    <t xml:space="preserve"> 16.1.38 </t>
  </si>
  <si>
    <t xml:space="preserve"> 16.1.39 </t>
  </si>
  <si>
    <t xml:space="preserve"> 48.02.008 </t>
  </si>
  <si>
    <t>RESERVATÓRIO DE FIBRA DE VIDRO - CAPACIDADE DE 15.000 LITROS</t>
  </si>
  <si>
    <t xml:space="preserve"> 16.1.40 </t>
  </si>
  <si>
    <t xml:space="preserve"> 16.1.41 </t>
  </si>
  <si>
    <t xml:space="preserve"> 16.1.42 </t>
  </si>
  <si>
    <t xml:space="preserve"> 4883 </t>
  </si>
  <si>
    <t>Caixa de inspeção  0.60 x 0.60 x 0.60m</t>
  </si>
  <si>
    <t xml:space="preserve"> 16.2.4 </t>
  </si>
  <si>
    <t>VÁLVULA EM PLÁSTICO 1" PARA PIA, TANQUE OU LAVATÓRIO, COM OU SEM LADRÃO - FORNECIMENTO E INSTALAÇÃO. AF_01/2020</t>
  </si>
  <si>
    <t>SIFÃO DO TIPO GARRAFA/COPO EM PVC 1.1/4  X 1.1/2" - FORNECIMENTO E INSTALAÇÃO. AF_01/2020</t>
  </si>
  <si>
    <t>Caixa de passagem em alvenaria de tijolos maciços esp. = 0,12m,  dim. int. = 0.50 x 0.50 x 0.60m, com grelha de ferro fundido</t>
  </si>
  <si>
    <t xml:space="preserve"> 16.3.2 </t>
  </si>
  <si>
    <t xml:space="preserve"> 16.3.3 </t>
  </si>
  <si>
    <t xml:space="preserve"> 053039 </t>
  </si>
  <si>
    <t>RALO HEMISFERICO 100mm PVC (RALO ABACAXI)</t>
  </si>
  <si>
    <t xml:space="preserve"> 16.3.4 </t>
  </si>
  <si>
    <t xml:space="preserve"> 16.3.5 </t>
  </si>
  <si>
    <t xml:space="preserve"> 16.3.6 </t>
  </si>
  <si>
    <t xml:space="preserve"> 16.3.7 </t>
  </si>
  <si>
    <t xml:space="preserve"> 16.3.8 </t>
  </si>
  <si>
    <t xml:space="preserve"> 16.3.9 </t>
  </si>
  <si>
    <t xml:space="preserve"> 16.3.10 </t>
  </si>
  <si>
    <t xml:space="preserve"> 16.3.11 </t>
  </si>
  <si>
    <t>PLACA FOTOLUMINESCENTE DE SINALIZACAO DE SEGURANCA CONTRA IN CENDIO,PARA EQUIPAMENTOS DE COMBATE A INCENDIO E ALARME,EM P VC ANTICHAMA,DIMENSOES APROXIMADAS DE (20X15)CM,CONFORME ABN T NBR 16820.FORNECIMENTO E COLOCACAO</t>
  </si>
  <si>
    <t xml:space="preserve"> 9925 </t>
  </si>
  <si>
    <t>Bucha com arruela em liga especial zamak p/eletroduto 32mm, d=1 1/4"</t>
  </si>
  <si>
    <t xml:space="preserve"> 91920 </t>
  </si>
  <si>
    <t>CURVA 90 GRAUS PARA ELETRODUTO, PVC, ROSCÁVEL, DN 40 MM (1 1/4"), PARA CIRCUITOS TERMINAIS, INSTALADA EM PAREDE - FORNECIMENTO E INSTALAÇÃO. AF_03/2023</t>
  </si>
  <si>
    <t xml:space="preserve"> 37.24.042 </t>
  </si>
  <si>
    <t>DISPOSITIVO DE PROTEÇÃO CONTRA SURTO, 1 POLO, SUPORTABILIDADE &amp;LT;= 4 KV, UN ATÉ 240V/415V, IIMP = 60 KA, CURVA DE ENSAIO 10/350µS - CLASSE 1</t>
  </si>
  <si>
    <t xml:space="preserve"> 060107 </t>
  </si>
  <si>
    <t>ELETROCALHA PERFURADA TIPO ""U"" 100X50 CHAPA 20 SEM TAMPA</t>
  </si>
  <si>
    <t xml:space="preserve"> 8685 </t>
  </si>
  <si>
    <t>Suporte vertical  100 x 75 mm  para fixação de eletrocalha metálica ( ref.: Mopa ou similar)</t>
  </si>
  <si>
    <t xml:space="preserve"> 38.04.080 </t>
  </si>
  <si>
    <t>ELETRODUTO GALVANIZADO CONFORME NBR13057 -  1 1/4´ COM ACESSÓRIOS</t>
  </si>
  <si>
    <t xml:space="preserve"> 101538 </t>
  </si>
  <si>
    <t>ARMAÇÃO SECUNDÁRIA, COM 1 ESTRIBO E 1 ISOLADOR - FORNECIMENTO E INSTALAÇÃO. AF_07/2020</t>
  </si>
  <si>
    <t>Caixa de equipotencialização em aço 200x200x90mm, para embutir com tampa, com9 terminais, ref:TEL-901 ou similar (SPDA)</t>
  </si>
  <si>
    <t xml:space="preserve"> 97331 </t>
  </si>
  <si>
    <t>TUBO EM COBRE FLEXÍVEL, DN 1/4", COM ISOLAMENTO, INSTALADO EM RAMAL DE ALIMENTAÇÃO DE AR CONDICIONADO COM CONDENSADORA CENTRAL - FORNECIMENTO E INSTALAÇÃO. AF_12/2015</t>
  </si>
  <si>
    <t xml:space="preserve"> 103290 </t>
  </si>
  <si>
    <t>TUBO EM COBRE FLEXÍVEL, DN 3/8", COM ISOLAMENTO, INSTALADO EM FORRO, PARA RAMAL DE ALIMENTAÇÃO DE AR CONDICIONADO, INCLUSO FIXADOR. AF_11/2021</t>
  </si>
  <si>
    <t xml:space="preserve"> 103291 </t>
  </si>
  <si>
    <t>TUBO EM COBRE FLEXÍVEL, DN 1/2", COM ISOLAMENTO, INSTALADO EM FORRO, PARA RAMAL DE ALIMENTAÇÃO DE AR CONDICIONADO, INCLUSO FIXADOR. AF_11/2021</t>
  </si>
  <si>
    <t>TUBO EM COBRE FLEXÍVEL, DN 5/8", COM ISOLAMENTO, INSTALADO EM RAMAL DE ALIMENTAÇÃO DE AR CONDICIONADO COM CONDENSADORA INDIVIDUAL - FORNECIMENTO E INSTALAÇÃO. AF_12/2015</t>
  </si>
  <si>
    <t xml:space="preserve"> 11412 </t>
  </si>
  <si>
    <t>Cabo de cobre PP Cordplast 4 x 2,5 mm2, 450/750v - fornecimento e instalação</t>
  </si>
  <si>
    <t xml:space="preserve"> 200065 </t>
  </si>
  <si>
    <t>CAIXA PARA ENCAIXE E INSTALACAO APARELHO AR CONDICIONADO</t>
  </si>
  <si>
    <t>DUTO PARA EXAUSTAO DE AR/VENTILACAO,CHAVETADO EM CHAPA DE AC O GALVANIZADO,NAS DIVERSAS BITOLAS,CONFORME ABNT NBR 16401,I NCLUSIVE SUPORTES PINTADOS,GRELHAS,DIFUSORES EM ALUMINIO EXT RUDADO E DEMAIS ITENS NECESSARIOS.FORNECIMENTO E COLOCACAO</t>
  </si>
  <si>
    <t xml:space="preserve"> 070660 </t>
  </si>
  <si>
    <t>DUTO FLEXIVEL DE ALUMINIO C/ ISOLAM. TERM.LA VIDRO 100MM 4""</t>
  </si>
  <si>
    <t xml:space="preserve"> 12498 </t>
  </si>
  <si>
    <t>Barra roscada bicromatizada ø 3/8" x 3000mm</t>
  </si>
  <si>
    <t xml:space="preserve"> 721 </t>
  </si>
  <si>
    <t>Fornecimento e instalação de porca sextavada 3/8" (ref vl 1.55 valemam ou similar)</t>
  </si>
  <si>
    <t xml:space="preserve"> 070901 </t>
  </si>
  <si>
    <t>EXAUSTOR CENTRIFUGO SIROCO TRIFASICO EC5-TN-3</t>
  </si>
  <si>
    <t xml:space="preserve"> 070904 </t>
  </si>
  <si>
    <t>EXAUSTOR CENTRIFUGO SIROCO TRIFASICO MOD: EC3-TN-1,5</t>
  </si>
  <si>
    <t xml:space="preserve"> 070216 </t>
  </si>
  <si>
    <t>CAIXA DE VENTILACAO PARA FORRO CAB-250 - 220V - S&amp;P</t>
  </si>
  <si>
    <t xml:space="preserve"> 19.3 </t>
  </si>
  <si>
    <t xml:space="preserve"> 19.4 </t>
  </si>
  <si>
    <t xml:space="preserve"> 19.5 </t>
  </si>
  <si>
    <t xml:space="preserve"> 19.6 </t>
  </si>
  <si>
    <t xml:space="preserve"> 19.7 </t>
  </si>
  <si>
    <t xml:space="preserve"> 19.8 </t>
  </si>
  <si>
    <t xml:space="preserve"> 8733 </t>
  </si>
  <si>
    <t>Central manifold para cilindros 2 x 2 para oxigênio, ar comprimido e óxido nitroso com serpentina e sem válvula de alta pressão</t>
  </si>
  <si>
    <t>PISO PODOTÁTIL DE ALERTA OU DIRECIONAL, DE CONCRETO, ASSENTADO SOBRE ARGAMASSA. AF_03/2024</t>
  </si>
  <si>
    <t xml:space="preserve"> 5.1.3 </t>
  </si>
  <si>
    <t xml:space="preserve"> 90844 </t>
  </si>
  <si>
    <t>KIT DE PORTA DE MADEIRA PARA PINTURA, SEMI-OCA (LEVE OU MÉDIA), PADRÃO MÉDIO, 90X210CM, ESPESSURA DE 3,5CM, ITENS INCLUSOS: DOBRADIÇAS, MONTAGEM E INSTALAÇÃO DO BATENTE, FECHADURA COM EXECUÇÃO DO FURO - FORNECIMENTO E INSTALAÇÃO. AF_12/2019</t>
  </si>
  <si>
    <t xml:space="preserve"> 90843 </t>
  </si>
  <si>
    <t>KIT DE PORTA DE MADEIRA PARA PINTURA, SEMI-OCA (LEVE OU MÉDIA), PADRÃO MÉDIO, 80X210CM, ESPESSURA DE 3,5CM, ITENS INCLUSOS: DOBRADIÇAS, MONTAGEM E INSTALAÇÃO DO BATENTE, FECHADURA COM EXECUÇÃO DO FURO - FORNECIMENTO E INSTALAÇÃO. AF_12/2019</t>
  </si>
  <si>
    <t xml:space="preserve"> 88495 </t>
  </si>
  <si>
    <t>EMASSAMENTO COM MASSA LÁTEX, APLICAÇÃO EM PAREDE, UMA DEMÃO, LIXAMENTO MANUAL. AF_04/2023</t>
  </si>
  <si>
    <t xml:space="preserve"> 88494 </t>
  </si>
  <si>
    <t>EMASSAMENTO COM MASSA LÁTEX, APLICAÇÃO EM TETO, UMA DEMÃO, LIXAMENTO MANUAL. AF_04/2023</t>
  </si>
  <si>
    <t>Porcent.</t>
  </si>
  <si>
    <t>MONTAGEM E DESMONTAGEM DE ANDAIME MODULAR FACHADEIRO, COM PISO METÁLICO, PARA EDIFÍCIOS COM MULTIPLOS PAVIMENTOS (EXCLUSIVE ANDAIME E LIMPEZA). AF_03/2024</t>
  </si>
  <si>
    <t xml:space="preserve"> 00001525 </t>
  </si>
  <si>
    <t>CONCRETO USINADO BOMBEAVEL, CLASSE DE RESISTENCIA C30, BRITA 0 E 1, SLUMP = 100 +/- 20 MM, COM BOMBEAMENTO (DISPONIBILIZACAO DE BOMBA), SEM O LANCAMENTO (NBR 8953)</t>
  </si>
  <si>
    <t>CUMEEIRA PARA TELHA DE FIBROCIMENTO ESTRUTURAL E = 6 MM, INCLUSO ACESSÓRIOS DE FIXAÇÃO E IÇAMENTO. AF_07/2019</t>
  </si>
  <si>
    <t xml:space="preserve"> 96534 </t>
  </si>
  <si>
    <t>FABRICAÇÃO, MONTAGEM E DESMONTAGEM DE FÔRMA PARA BLOCO DE COROAMENTO, EM MADEIRA SERRADA, E=25 MM, 4 UTILIZAÇÕES. AF_01/2024</t>
  </si>
  <si>
    <t>MASSA ÚNICA, EM ARGAMASSA TRAÇO 1:2:8 PREPARO MECÂNICO, APLICADA MANUALMENTE EM PAREDES INTERNAS DE AMBIENTES COM ÁREA MAIOR QUE 10M², E = 10MM, COM TALISCAS. AF_03/2024</t>
  </si>
  <si>
    <t xml:space="preserve"> 87553 </t>
  </si>
  <si>
    <t>EMBOÇO, EM ARGAMASSA TRAÇO 1:2:8, PREPARO MECÂNICO, APLICADO MANUALMENTE EM PAREDES INTERNAS DE AMBIENTES COM ÁREA MAIOR QUE 10M², E = 10MM, COM TALISCAS. AF_03/2024</t>
  </si>
  <si>
    <t xml:space="preserve"> 104641 </t>
  </si>
  <si>
    <t>PINTURA LÁTEX ACRÍLICA ECONÔMICA, APLICAÇÃO MANUAL EM PAREDES, DUAS DEMÃOS. AF_04/2023</t>
  </si>
  <si>
    <t xml:space="preserve"> 95305 </t>
  </si>
  <si>
    <t>TEXTURA ACRÍLICA, APLICAÇÃO MANUAL EM PAREDE, UMA DEMÃO. AF_04/2023</t>
  </si>
  <si>
    <t xml:space="preserve"> 104639 </t>
  </si>
  <si>
    <t>PINTURA LÁTEX ACRÍLICA ECONÔMICA, APLICAÇÃO MANUAL EM TETO, DUAS DEMÃOS. AF_04/2023</t>
  </si>
  <si>
    <t xml:space="preserve"> 103322 </t>
  </si>
  <si>
    <t>ALVENARIA DE VEDAÇÃO DE BLOCOS CERÂMICOS FURADOS NA VERTICAL DE 9X19X39 CM (ESPESSURA 9 CM) E ARGAMASSA DE ASSENTAMENTO COM PREPARO EM BETONEIRA. AF_12/2021</t>
  </si>
  <si>
    <t xml:space="preserve"> 103324 </t>
  </si>
  <si>
    <t>ALVENARIA DE VEDAÇÃO DE BLOCOS CERÂMICOS FURADOS NA VERTICAL DE 14X19X39 CM (ESPESSURA 14 CM) E ARGAMASSA DE ASSENTAMENTO COM PREPARO EM BETONEIRA. AF_12/2021</t>
  </si>
  <si>
    <t xml:space="preserve"> 15.1.2 </t>
  </si>
  <si>
    <t xml:space="preserve"> 15.1.3 </t>
  </si>
  <si>
    <t xml:space="preserve"> 15.1.4 </t>
  </si>
  <si>
    <t xml:space="preserve"> 15.1.5 </t>
  </si>
  <si>
    <t xml:space="preserve"> 15.1.6 </t>
  </si>
  <si>
    <t xml:space="preserve"> 15.1.7 </t>
  </si>
  <si>
    <t xml:space="preserve"> 15.1.8 </t>
  </si>
  <si>
    <t xml:space="preserve"> 15.1.9 </t>
  </si>
  <si>
    <t xml:space="preserve"> 15.1.10 </t>
  </si>
  <si>
    <t xml:space="preserve"> 15.1.11 </t>
  </si>
  <si>
    <t xml:space="preserve"> 15.1.12 </t>
  </si>
  <si>
    <t xml:space="preserve"> 15.1.13 </t>
  </si>
  <si>
    <t xml:space="preserve"> 15.1.14 </t>
  </si>
  <si>
    <t xml:space="preserve"> 15.1.15 </t>
  </si>
  <si>
    <t xml:space="preserve"> 15.1.16 </t>
  </si>
  <si>
    <t xml:space="preserve"> 15.1.17 </t>
  </si>
  <si>
    <t xml:space="preserve"> 15.1.18 </t>
  </si>
  <si>
    <t xml:space="preserve"> 15.1.19 </t>
  </si>
  <si>
    <t xml:space="preserve"> 15.1.20 </t>
  </si>
  <si>
    <t xml:space="preserve"> 15.1.21 </t>
  </si>
  <si>
    <t xml:space="preserve"> 15.1.22 </t>
  </si>
  <si>
    <t xml:space="preserve"> 15.1.23 </t>
  </si>
  <si>
    <t xml:space="preserve"> 15.1.24 </t>
  </si>
  <si>
    <t xml:space="preserve"> 15.1.25 </t>
  </si>
  <si>
    <t xml:space="preserve"> 15.1.26 </t>
  </si>
  <si>
    <t xml:space="preserve"> 15.1.27 </t>
  </si>
  <si>
    <t xml:space="preserve"> 15.1.28 </t>
  </si>
  <si>
    <t xml:space="preserve"> 15.1.29 </t>
  </si>
  <si>
    <t xml:space="preserve"> 15.1.30 </t>
  </si>
  <si>
    <t xml:space="preserve"> 15.1.31 </t>
  </si>
  <si>
    <t xml:space="preserve"> 15.1.32 </t>
  </si>
  <si>
    <t xml:space="preserve"> 15.1.33 </t>
  </si>
  <si>
    <t xml:space="preserve"> 15.1.34 </t>
  </si>
  <si>
    <t xml:space="preserve"> 15.1.35 </t>
  </si>
  <si>
    <t xml:space="preserve"> 15.1.36 </t>
  </si>
  <si>
    <t xml:space="preserve"> 15.1.37 </t>
  </si>
  <si>
    <t xml:space="preserve"> 15.1.38 </t>
  </si>
  <si>
    <t xml:space="preserve"> 15.1.39 </t>
  </si>
  <si>
    <t xml:space="preserve"> 15.1.40 </t>
  </si>
  <si>
    <t xml:space="preserve"> 15.1.41 </t>
  </si>
  <si>
    <t xml:space="preserve"> 15.1.42 </t>
  </si>
  <si>
    <t xml:space="preserve"> 15.2 </t>
  </si>
  <si>
    <t xml:space="preserve"> 15.2.1 </t>
  </si>
  <si>
    <t xml:space="preserve"> 15.2.2 </t>
  </si>
  <si>
    <t xml:space="preserve"> 15.2.3 </t>
  </si>
  <si>
    <t xml:space="preserve"> 15.2.4 </t>
  </si>
  <si>
    <t xml:space="preserve"> 15.2.5 </t>
  </si>
  <si>
    <t xml:space="preserve"> 15.2.6 </t>
  </si>
  <si>
    <t xml:space="preserve"> 15.2.7 </t>
  </si>
  <si>
    <t xml:space="preserve"> 15.2.8 </t>
  </si>
  <si>
    <t xml:space="preserve"> 15.2.9 </t>
  </si>
  <si>
    <t xml:space="preserve"> 15.2.10 </t>
  </si>
  <si>
    <t xml:space="preserve"> 15.2.11 </t>
  </si>
  <si>
    <t xml:space="preserve"> 15.2.12 </t>
  </si>
  <si>
    <t xml:space="preserve"> 15.2.13 </t>
  </si>
  <si>
    <t xml:space="preserve"> 15.2.14 </t>
  </si>
  <si>
    <t xml:space="preserve"> 15.2.15 </t>
  </si>
  <si>
    <t xml:space="preserve"> 15.2.16 </t>
  </si>
  <si>
    <t xml:space="preserve"> 15.2.17 </t>
  </si>
  <si>
    <t xml:space="preserve"> 15.2.18 </t>
  </si>
  <si>
    <t xml:space="preserve"> 15.2.19 </t>
  </si>
  <si>
    <t xml:space="preserve"> 15.2.20 </t>
  </si>
  <si>
    <t xml:space="preserve"> 15.2.21 </t>
  </si>
  <si>
    <t xml:space="preserve"> 15.2.22 </t>
  </si>
  <si>
    <t xml:space="preserve"> 15.2.23 </t>
  </si>
  <si>
    <t xml:space="preserve"> 15.2.24 </t>
  </si>
  <si>
    <t xml:space="preserve"> 15.2.25 </t>
  </si>
  <si>
    <t xml:space="preserve"> 15.2.26 </t>
  </si>
  <si>
    <t xml:space="preserve"> 15.2.27 </t>
  </si>
  <si>
    <t xml:space="preserve"> 15.2.28 </t>
  </si>
  <si>
    <t xml:space="preserve"> 15.2.29 </t>
  </si>
  <si>
    <t xml:space="preserve"> 15.2.30 </t>
  </si>
  <si>
    <t xml:space="preserve"> 15.2.31 </t>
  </si>
  <si>
    <t xml:space="preserve"> 15.2.32 </t>
  </si>
  <si>
    <t xml:space="preserve"> 15.2.33 </t>
  </si>
  <si>
    <t xml:space="preserve"> 15.2.34 </t>
  </si>
  <si>
    <t xml:space="preserve"> 15.3 </t>
  </si>
  <si>
    <t xml:space="preserve"> 15.3.1 </t>
  </si>
  <si>
    <t xml:space="preserve"> 15.3.2 </t>
  </si>
  <si>
    <t xml:space="preserve"> 15.3.3 </t>
  </si>
  <si>
    <t xml:space="preserve"> 15.3.4 </t>
  </si>
  <si>
    <t xml:space="preserve"> 15.3.5 </t>
  </si>
  <si>
    <t xml:space="preserve"> 15.3.6 </t>
  </si>
  <si>
    <t xml:space="preserve"> 15.3.7 </t>
  </si>
  <si>
    <t xml:space="preserve"> 15.3.8 </t>
  </si>
  <si>
    <t xml:space="preserve"> 15.3.9 </t>
  </si>
  <si>
    <t xml:space="preserve"> 15.3.10 </t>
  </si>
  <si>
    <t xml:space="preserve"> 15.3.11 </t>
  </si>
  <si>
    <t xml:space="preserve"> 15.3.12 </t>
  </si>
  <si>
    <t xml:space="preserve"> 15.3.13 </t>
  </si>
  <si>
    <t xml:space="preserve"> 15.3.14 </t>
  </si>
  <si>
    <t xml:space="preserve"> 15.3.15 </t>
  </si>
  <si>
    <t xml:space="preserve"> 15.3.16 </t>
  </si>
  <si>
    <t xml:space="preserve"> 15.3.17 </t>
  </si>
  <si>
    <t xml:space="preserve"> 15.3.18 </t>
  </si>
  <si>
    <t xml:space="preserve"> 15.4 </t>
  </si>
  <si>
    <t xml:space="preserve"> 15.4.1 </t>
  </si>
  <si>
    <t xml:space="preserve"> 15.4.2 </t>
  </si>
  <si>
    <t xml:space="preserve"> 15.4.3 </t>
  </si>
  <si>
    <t xml:space="preserve"> 15.4.4 </t>
  </si>
  <si>
    <t xml:space="preserve"> 15.4.5 </t>
  </si>
  <si>
    <t xml:space="preserve"> 15.4.6 </t>
  </si>
  <si>
    <t xml:space="preserve"> 15.4.7 </t>
  </si>
  <si>
    <t xml:space="preserve"> 15.4.8 </t>
  </si>
  <si>
    <t xml:space="preserve"> 15.4.9 </t>
  </si>
  <si>
    <t xml:space="preserve"> 15.4.10 </t>
  </si>
  <si>
    <t xml:space="preserve"> 15.4.11 </t>
  </si>
  <si>
    <t xml:space="preserve"> 16.1.43 </t>
  </si>
  <si>
    <t xml:space="preserve"> 16.1.44 </t>
  </si>
  <si>
    <t xml:space="preserve"> 16.1.45 </t>
  </si>
  <si>
    <t xml:space="preserve"> 16.1.46 </t>
  </si>
  <si>
    <t xml:space="preserve"> 16.1.47 </t>
  </si>
  <si>
    <t xml:space="preserve"> 16.1.48 </t>
  </si>
  <si>
    <t xml:space="preserve"> 16.1.49 </t>
  </si>
  <si>
    <t xml:space="preserve"> 16.1.50 </t>
  </si>
  <si>
    <t xml:space="preserve"> 16.1.51 </t>
  </si>
  <si>
    <t xml:space="preserve"> 16.1.52 </t>
  </si>
  <si>
    <t xml:space="preserve"> 16.1.53 </t>
  </si>
  <si>
    <t xml:space="preserve"> 16.1.54 </t>
  </si>
  <si>
    <t xml:space="preserve"> 16.1.55 </t>
  </si>
  <si>
    <t xml:space="preserve"> 16.1.56 </t>
  </si>
  <si>
    <t xml:space="preserve"> 16.1.57 </t>
  </si>
  <si>
    <t xml:space="preserve"> 16.1.58 </t>
  </si>
  <si>
    <t xml:space="preserve"> 16.1.59 </t>
  </si>
  <si>
    <t xml:space="preserve"> 16.1.60 </t>
  </si>
  <si>
    <t xml:space="preserve"> 16.1.61 </t>
  </si>
  <si>
    <t xml:space="preserve"> 16.1.62 </t>
  </si>
  <si>
    <t xml:space="preserve"> 16.1.63 </t>
  </si>
  <si>
    <t xml:space="preserve"> 16.1.64 </t>
  </si>
  <si>
    <t xml:space="preserve"> 16.1.65 </t>
  </si>
  <si>
    <t xml:space="preserve"> 16.1.66 </t>
  </si>
  <si>
    <t xml:space="preserve"> 16.1.67 </t>
  </si>
  <si>
    <t xml:space="preserve"> 16.1.68 </t>
  </si>
  <si>
    <t xml:space="preserve"> 16.1.69 </t>
  </si>
  <si>
    <t xml:space="preserve"> 16.1.70 </t>
  </si>
  <si>
    <t xml:space="preserve"> 16.1.71 </t>
  </si>
  <si>
    <t xml:space="preserve"> 18.3 </t>
  </si>
  <si>
    <t xml:space="preserve"> 18.4 </t>
  </si>
  <si>
    <t xml:space="preserve"> 18.5 </t>
  </si>
  <si>
    <t xml:space="preserve"> 18.6 </t>
  </si>
  <si>
    <t xml:space="preserve"> 18.7 </t>
  </si>
  <si>
    <t xml:space="preserve"> 20.1.1 </t>
  </si>
  <si>
    <t xml:space="preserve"> 20.2.1 </t>
  </si>
  <si>
    <t xml:space="preserve"> 20.3.1 </t>
  </si>
  <si>
    <t xml:space="preserve"> 4656 </t>
  </si>
  <si>
    <t>Locação de container - Banheiro com chuveiros e vasos - 4,30 x 2,30m</t>
  </si>
  <si>
    <t>mês</t>
  </si>
  <si>
    <t xml:space="preserve"> 100324 </t>
  </si>
  <si>
    <t>LASTRO COM MATERIAL GRANULAR (PEDRA BRITADA N.1 E PEDRA BRITADA N.2), APLICADO EM PISOS OU LAJES SOBRE SOLO, ESPESSURA DE *10 CM*. AF_01/2024</t>
  </si>
  <si>
    <t xml:space="preserve"> 3.4 </t>
  </si>
  <si>
    <t>BASE RESERVATÓRIO</t>
  </si>
  <si>
    <t xml:space="preserve"> 3.4.1 </t>
  </si>
  <si>
    <t xml:space="preserve"> 97103 </t>
  </si>
  <si>
    <t>EXECUÇÃO DE RADIER, ESPESSURA DE 20 CM, FCK = 30 MPA, COM USO DE FORMAS EM MADEIRA SERRADA. AF_09/2021</t>
  </si>
  <si>
    <t xml:space="preserve"> 23.08.242 </t>
  </si>
  <si>
    <t>PORTA LISA DE CORRER SUSPENSA EM MADEIRA COM BATENTE</t>
  </si>
  <si>
    <t xml:space="preserve"> 12.3 </t>
  </si>
  <si>
    <t xml:space="preserve"> 12.3.1 </t>
  </si>
  <si>
    <t xml:space="preserve"> 102197 </t>
  </si>
  <si>
    <t>PINTURA FUNDO NIVELADOR ALQUÍDICO BRANCO EM MADEIRA. AF_01/2021</t>
  </si>
  <si>
    <t xml:space="preserve"> 12.3.2 </t>
  </si>
  <si>
    <t>PINTURA TINTA DE ACABAMENTO (PIGMENTADA) ESMALTE SINTÉTICO ACETINADO EM MADEIRA, 2 DEMÃOS. AF_01/2021</t>
  </si>
  <si>
    <t xml:space="preserve"> 90100 </t>
  </si>
  <si>
    <t>ESCAVAÇÃO MECANIZADA DE VALA COM PROF. ATÉ 1,5 M (MÉDIA MONTANTE E JUSANTE/UMA COMPOSIÇÃO POR TRECHO), RETROESCAV. (0,26 M3), LARG. DE 0,8 M A 1,5 M, EM SOLO DE 1A CATEGORIA, EM LOCAIS COM ALTO NÍVEL DE INTERFERÊNCIA. AF_02/2021</t>
  </si>
  <si>
    <t xml:space="preserve"> 2.16 </t>
  </si>
  <si>
    <t xml:space="preserve"> 6.2 </t>
  </si>
  <si>
    <t xml:space="preserve"> 98555 </t>
  </si>
  <si>
    <t>IMPERMEABILIZAÇÃO DE SUPERFÍCIE COM ARGAMASSA POLIMÉRICA / MEMBRANA ACRÍLICA, 3 DEMÃOS. AF_09/2023</t>
  </si>
  <si>
    <t xml:space="preserve"> 94573 </t>
  </si>
  <si>
    <t>JANELA DE ALUMÍNIO DE CORRER COM 4 FOLHAS PARA VIDROS, COM VIDROS, BATENTE, ACABAMENTO COM ACETATO OU BRILHANTE E FERRAGENS. EXCLUSIVE ALIZAR E CONTRAMARCO. FORNECIMENTO E INSTALAÇÃO. AF_12/2019</t>
  </si>
  <si>
    <t>Ministério da Saúde - Departamento de Estratégias e Políticas de Saúde Comunitária</t>
  </si>
  <si>
    <t>SINAPI 97063 + INSUMO SINAPI 20193</t>
  </si>
  <si>
    <t>CPOS 13.01.320</t>
  </si>
  <si>
    <t>SBC 053037</t>
  </si>
  <si>
    <t>SBC 077390 + COTAÇÃO</t>
  </si>
  <si>
    <t>SINAPI 83535</t>
  </si>
  <si>
    <t xml:space="preserve">ORSE 11703 </t>
  </si>
  <si>
    <t xml:space="preserve">ORSE 4656 </t>
  </si>
  <si>
    <t xml:space="preserve">SBC 012208 </t>
  </si>
  <si>
    <t xml:space="preserve">SBC 000128 </t>
  </si>
  <si>
    <t xml:space="preserve">SBC 100113 </t>
  </si>
  <si>
    <t xml:space="preserve">CPOS/CDHU 23.08.242 </t>
  </si>
  <si>
    <t xml:space="preserve">CPOS/CDHU 25.02.110 </t>
  </si>
  <si>
    <t xml:space="preserve">EMOP 14.003.0205-0 </t>
  </si>
  <si>
    <t xml:space="preserve">ORSE 12098 </t>
  </si>
  <si>
    <t xml:space="preserve">CPOS/CDHU 28.20.650 </t>
  </si>
  <si>
    <t xml:space="preserve">ORSE 13110 </t>
  </si>
  <si>
    <t xml:space="preserve">SBC 112597 </t>
  </si>
  <si>
    <t xml:space="preserve">SBC 140560 </t>
  </si>
  <si>
    <t xml:space="preserve">ORSE 2180 </t>
  </si>
  <si>
    <t xml:space="preserve">ORSE 10168 </t>
  </si>
  <si>
    <t xml:space="preserve">ORSE 11233 </t>
  </si>
  <si>
    <t xml:space="preserve">ORSE 12492 </t>
  </si>
  <si>
    <t xml:space="preserve">IOPES 170124 </t>
  </si>
  <si>
    <t xml:space="preserve">CPOS/CDHU 44.01.850 </t>
  </si>
  <si>
    <t xml:space="preserve">ORSE 13262 </t>
  </si>
  <si>
    <t xml:space="preserve">CPOS/CDHU 44.03.300 </t>
  </si>
  <si>
    <t xml:space="preserve">ORSE 9676 </t>
  </si>
  <si>
    <t xml:space="preserve">ORSE 9503 </t>
  </si>
  <si>
    <t xml:space="preserve">ORSE 13113 </t>
  </si>
  <si>
    <t xml:space="preserve">CPOS/CDHU 48.02.008 </t>
  </si>
  <si>
    <t xml:space="preserve">ORSE 4883 </t>
  </si>
  <si>
    <t xml:space="preserve">SBC 053039 </t>
  </si>
  <si>
    <t xml:space="preserve">ORSE 12889 </t>
  </si>
  <si>
    <t xml:space="preserve">CPOS/CDHU 97.02.198 </t>
  </si>
  <si>
    <t xml:space="preserve">ORSE 9925 </t>
  </si>
  <si>
    <t xml:space="preserve">CPOS/CDHU 37.24.042 </t>
  </si>
  <si>
    <t xml:space="preserve">SBC 060107 </t>
  </si>
  <si>
    <t xml:space="preserve">ORSE 8685 </t>
  </si>
  <si>
    <t xml:space="preserve">CPOS/CDHU 38.04.080 </t>
  </si>
  <si>
    <t xml:space="preserve">SBC 060121 </t>
  </si>
  <si>
    <t xml:space="preserve">ORSE 13158 </t>
  </si>
  <si>
    <t xml:space="preserve">ORSE 11412 </t>
  </si>
  <si>
    <t xml:space="preserve">SBC 200065 </t>
  </si>
  <si>
    <t xml:space="preserve">SBC 070660 </t>
  </si>
  <si>
    <t xml:space="preserve">ORSE 12498 </t>
  </si>
  <si>
    <t xml:space="preserve">ORSE 721 </t>
  </si>
  <si>
    <t xml:space="preserve">SBC 070901 </t>
  </si>
  <si>
    <t xml:space="preserve">SBC 070904 </t>
  </si>
  <si>
    <t xml:space="preserve">SBC 070216 </t>
  </si>
  <si>
    <t xml:space="preserve">ORSE 8733 </t>
  </si>
  <si>
    <t xml:space="preserve">ORSE 2451 </t>
  </si>
  <si>
    <t>Utilizada composição do CPOS para São Paulo visto que o SINAPI não possui composição adequada para contemplar tal serviço. Excluídos os insumos referentes à capa de concreto visto que esses quantitativos estão presentes no concreto, forma e aço de lajes da planilha orçamentária.</t>
  </si>
  <si>
    <t>SIURB 17010074</t>
  </si>
  <si>
    <t>Utilizada composição de referência SIURB para mão de obra e insumo, bem como inclusão do insumo SBC 016202 para atendimento do projeto.</t>
  </si>
  <si>
    <t xml:space="preserve"> 96557 </t>
  </si>
  <si>
    <t>CONCRETAGEM DE BLOCO DE COROAMENTO OU VIGA BALDRAME, FCK 30 MPA, COM USO DE BOMBA - LANÇAMENTO, ADENSAMENTO E ACABAMENTO. AF_01/2024</t>
  </si>
  <si>
    <t xml:space="preserve"> 7.1.1.5 </t>
  </si>
  <si>
    <t xml:space="preserve"> 110016 </t>
  </si>
  <si>
    <t>PORTA COMPLETA MADEIRA 2 FL.1,60x2,10m LISA FER.VAI-E-VEM</t>
  </si>
  <si>
    <t xml:space="preserve"> 7.2.1.5 </t>
  </si>
  <si>
    <t xml:space="preserve"> 112370 </t>
  </si>
  <si>
    <t>PORTA ALUMINIO ANODIZADO NATURAL 1 FOLHA DE ABRIR</t>
  </si>
  <si>
    <t xml:space="preserve"> 91961 </t>
  </si>
  <si>
    <t>INTERRUPTOR PARALELO (2 MÓDULOS), 10A/250V, INCLUINDO SUPORTE E PLACA - FORNECIMENTO E INSTALAÇÃO. AF_03/2023</t>
  </si>
  <si>
    <t xml:space="preserve"> 16.2.5 </t>
  </si>
  <si>
    <t xml:space="preserve"> 17.2.4 </t>
  </si>
  <si>
    <t xml:space="preserve"> 070205 </t>
  </si>
  <si>
    <t>EXAUSTOR AXIAL MULTIVAC MODELO MURO 150A</t>
  </si>
  <si>
    <t xml:space="preserve"> CPU2424 </t>
  </si>
  <si>
    <t>POSTO DE CONSUMO DE O2 OU AR VÁCUO OU N2O</t>
  </si>
  <si>
    <t>Edificação</t>
  </si>
  <si>
    <t xml:space="preserve"> 016202 </t>
  </si>
  <si>
    <t>TARUGO ACO INOX 5/8" (20cm)</t>
  </si>
  <si>
    <t>SIURB</t>
  </si>
  <si>
    <t>POSTO DE CONSUMO DE O2 OU AR OU VÁCUO OU N2O SOMENTE O APARELHO, SEM INSTALAÇÃO</t>
  </si>
  <si>
    <t>Estão exclusos do escopo: movimentação de terra, mobiliário e equipamentos, piso intertravado, bate-macas, chapas metálicas das portas, instalações de automação, CFTV, energia fotovoltaica, controle de acesso, CATV, sonorização, compressor odontológico e bomba de vacuo odontológico portatéis e equipamentos de ar condicionado.</t>
  </si>
  <si>
    <t xml:space="preserve"> 012689 </t>
  </si>
  <si>
    <t>MOBILIZACAO E DESMOBILIZACAO DE CANTEIRO</t>
  </si>
  <si>
    <t xml:space="preserve"> 92765 </t>
  </si>
  <si>
    <t>ARMAÇÃO DE PILAR OU VIGA DE ESTRUTURA CONVENCIONAL DE CONCRETO ARMADO UTILIZANDO AÇO CA-50 DE 20,0 MM - MONTAGEM. AF_06/2022</t>
  </si>
  <si>
    <t xml:space="preserve"> 3.2.10 </t>
  </si>
  <si>
    <t xml:space="preserve"> 92772 </t>
  </si>
  <si>
    <t>ARMAÇÃO DE LAJE DE ESTRUTURA CONVENCIONAL DE CONCRETO ARMADO UTILIZANDO AÇO CA-50 DE 12,5 MM - MONTAGEM. AF_06/2022</t>
  </si>
  <si>
    <t xml:space="preserve"> 101792 </t>
  </si>
  <si>
    <t>ESCORAMENTO DE FÔRMAS DE LAJE EM MADEIRA NÃO APARELHADA, PÉ-DIREITO SIMPLES, INCLUSO TRAVAMENTO, 4 UTILIZAÇÕES. AF_09/2020</t>
  </si>
  <si>
    <t xml:space="preserve"> 4.3.2 </t>
  </si>
  <si>
    <t xml:space="preserve"> 4065 </t>
  </si>
  <si>
    <t>Divisoria Naval (painel com vidro), e=40mm, com perfis em aço - fornecimento e aplicação - Rev 02</t>
  </si>
  <si>
    <t xml:space="preserve"> 4.3.3 </t>
  </si>
  <si>
    <t xml:space="preserve"> 120220 </t>
  </si>
  <si>
    <t>LAMBRI CHAPA ALUMINIO ANODIZADO EM PAREDES</t>
  </si>
  <si>
    <t xml:space="preserve"> 24.02.460 </t>
  </si>
  <si>
    <t>PORTA DE ABRIR EM TELA ONDULADA DE AÇO GALVANIZADO, COMPLETA</t>
  </si>
  <si>
    <t xml:space="preserve"> 7.2.1.6 </t>
  </si>
  <si>
    <t xml:space="preserve"> 12220 </t>
  </si>
  <si>
    <t>Portão/porta em alumínio cor N/B/P, de abrir, 02 fls, vazado, em tubo quadrado 3"x1.1/2" horizontais e engradado e 1.1/2"x1.1/2" verticais, com espaçamento de 12cm.</t>
  </si>
  <si>
    <t xml:space="preserve"> 94570 </t>
  </si>
  <si>
    <t>JANELA DE ALUMÍNIO DE CORRER COM 2 FOLHAS PARA VIDROS, COM VIDROS, BATENTE, ACABAMENTO COM ACETATO OU BRILHANTE E FERRAGENS. EXCLUSIVE ALIZAR E CONTRAMARCO. FORNECIMENTO E INSTALAÇÃO. AF_12/2019</t>
  </si>
  <si>
    <t>APLICAÇÃO MANUAL DE MASSA ACRÍLICA EM PAREDES EXTERNAS DE CASAS, UMA DEMÃO. AF_03/2024</t>
  </si>
  <si>
    <t xml:space="preserve"> 12.1.5 </t>
  </si>
  <si>
    <t xml:space="preserve"> 170602 </t>
  </si>
  <si>
    <t>Barra de apoio reta em aço inox 304 p/ portadores de necessidades especiais (NBR 9050), largura 60 cm</t>
  </si>
  <si>
    <t xml:space="preserve"> 100875 </t>
  </si>
  <si>
    <t>BANCO ARTICULADO, EM ACO INOX, PARA PCD, FIXADO NA PAREDE - FORNECIMENTO E INSTALAÇÃO. AF_01/2020</t>
  </si>
  <si>
    <t xml:space="preserve"> 14.3.15 </t>
  </si>
  <si>
    <t xml:space="preserve"> 94689 </t>
  </si>
  <si>
    <t>TÊ COM BUCHA DE LATÃO NA BOLSA CENTRAL, PVC, SOLDÁVEL, DN  25 MM X 3/4 , INSTALADO EM RESERVAÇÃO DE ÁGUA DE EDIFICAÇÃO QUE POSSUA RESERVATÓRIO DE FIBRA/FIBROCIMENTO   FORNECIMENTO E INSTALAÇÃO. AF_06/2016</t>
  </si>
  <si>
    <t xml:space="preserve"> 94490 </t>
  </si>
  <si>
    <t>REGISTRO DE ESFERA, PVC, SOLDÁVEL, COM VOLANTE, DN  32 MM - FORNECIMENTO E INSTALAÇÃO. AF_08/2021</t>
  </si>
  <si>
    <t xml:space="preserve"> 47.05.020 </t>
  </si>
  <si>
    <t>VÁLVULA DE RETENÇÃO HORIZONTAL EM BRONZE, DN= 1´</t>
  </si>
  <si>
    <t xml:space="preserve"> 89436 </t>
  </si>
  <si>
    <t>ADAPTADOR CURTO COM BOLSA E ROSCA PARA REGISTRO, PVC, SOLDÁVEL, DN 32MM X 1 , INSTALADO EM RAMAL DE DISTRIBUIÇÃO DE ÁGUA - FORNECIMENTO E INSTALAÇÃO. AF_06/2022</t>
  </si>
  <si>
    <t xml:space="preserve"> 47.20.320 </t>
  </si>
  <si>
    <t>FILTRO ´Y´ CORPO EM BRONZE, PRESSÃO DE SERVIÇO ATÉ 20,7 BAR (PN 20), DN= 1 1/2´</t>
  </si>
  <si>
    <t xml:space="preserve"> CPU2464 </t>
  </si>
  <si>
    <t>PRESSURIZADOR MAX PRESS 20E</t>
  </si>
  <si>
    <t xml:space="preserve"> 104347 </t>
  </si>
  <si>
    <t>JUNÇÃO DE REDUCAO INVERTIDA, PVC, SÉRIE NORMAL, ESGOTO PREDIAL, DN 100 X 75 MM, JUNTA ELÁSTICA, FORNECIDO E INSTALADO EM RAMAL DE DESCARGA OU RAMAL DE ESGOTO SANITÁRIO. AF_08/2022</t>
  </si>
  <si>
    <t xml:space="preserve"> 89785 </t>
  </si>
  <si>
    <t>JUNÇÃO SIMPLES, PVC, SERIE NORMAL, ESGOTO PREDIAL, DN 50 X 50 MM, JUNTA ELÁSTICA, FORNECIDO E INSTALADO EM RAMAL DE DESCARGA OU RAMAL DE ESGOTO SANITÁRIO. AF_08/2022</t>
  </si>
  <si>
    <t xml:space="preserve"> 4717 </t>
  </si>
  <si>
    <t>Caixa de gordura em pvc 300mm</t>
  </si>
  <si>
    <t xml:space="preserve"> 97961 </t>
  </si>
  <si>
    <t>CAIXA PARA BOCA DE LOBO COMBINADA COM GRELHA RETANGULAR, EM ALVENARIA COM BLOCOS DE CONCRETO, DIMENSÕES INTERNAS: 1,3X1X1,2 M. AF_12/2020</t>
  </si>
  <si>
    <t xml:space="preserve"> CPU2092 </t>
  </si>
  <si>
    <t>CURVA PVC PARA REDE COLETOR ESGOTO, EB-644, 45 GR, 200 MM, COM JUNTA ELASTICA.</t>
  </si>
  <si>
    <t xml:space="preserve"> 89363 </t>
  </si>
  <si>
    <t>JOELHO 45 GRAUS, PVC, SOLDÁVEL, DN 25MM, INSTALADO EM RAMAL OU SUB-RAMAL DE ÁGUA - FORNECIMENTO E INSTALAÇÃO. AF_06/2022</t>
  </si>
  <si>
    <t xml:space="preserve"> 060680 </t>
  </si>
  <si>
    <t>LUMINARIA DE EMERGENCIA 30 LEDS BIVOLT LDE INTELBRAS</t>
  </si>
  <si>
    <t>Placa de sinalização de segurança CODIGO 14 - 315/158(NBR 13.434); CÓDIGO S3(NT 14/2010-ES) ("SAIDA DE EMERGÊNCIA" - seta vertical)</t>
  </si>
  <si>
    <t xml:space="preserve"> 15.4.12 </t>
  </si>
  <si>
    <t xml:space="preserve"> 91943 </t>
  </si>
  <si>
    <t>CAIXA RETANGULAR 4" X 4" MÉDIA (1,30 M DO PISO), PVC, INSTALADA EM PAREDE - FORNECIMENTO E INSTALAÇÃO. AF_03/2023</t>
  </si>
  <si>
    <t xml:space="preserve"> 92992 </t>
  </si>
  <si>
    <t>CABO DE COBRE FLEXÍVEL ISOLADO, 95 MM², ANTI-CHAMA 0,6/1,0 KV, PARA REDE ENTERRADA DE DISTRIBUIÇÃO DE ENERGIA ELÉTRICA - FORNECIMENTO E INSTALAÇÃO. AF_12/2021</t>
  </si>
  <si>
    <t xml:space="preserve"> 91932 </t>
  </si>
  <si>
    <t>CABO DE COBRE FLEXÍVEL ISOLADO, 10 MM², ANTI-CHAMA 450/750 V, PARA CIRCUITOS TERMINAIS - FORNECIMENTO E INSTALAÇÃO. AF_03/2023</t>
  </si>
  <si>
    <t xml:space="preserve"> 91934 </t>
  </si>
  <si>
    <t>CABO DE COBRE FLEXÍVEL ISOLADO, 16 MM², ANTI-CHAMA 450/750 V, PARA CIRCUITOS TERMINAIS - FORNECIMENTO E INSTALAÇÃO. AF_03/2023</t>
  </si>
  <si>
    <t xml:space="preserve"> 101888 </t>
  </si>
  <si>
    <t>CABO DE COBRE ISOLADO, 25 MM², ANTI-CHAMA 450/750 V, INSTALADO EM ELETROCALHA OU PERFILADO - FORNECIMENTO E INSTALAÇÃO. AF_10/2020</t>
  </si>
  <si>
    <t xml:space="preserve"> 91963 </t>
  </si>
  <si>
    <t>INTERRUPTOR SIMPLES (1 MÓDULO) COM INTERRUPTOR PARALELO (2 MÓDULOS), 10A/250V, INCLUINDO SUPORTE E PLACA - FORNECIMENTO E INSTALAÇÃO. AF_03/2023</t>
  </si>
  <si>
    <t xml:space="preserve"> 91979 </t>
  </si>
  <si>
    <t>INTERRUPTOR INTERMEDIÁRIO (1 MÓDULO), 10A/250V, INCLUINDO SUPORTE E PLACA - FORNECIMENTO E INSTALAÇÃO. AF_03/2023</t>
  </si>
  <si>
    <t xml:space="preserve"> 91969 </t>
  </si>
  <si>
    <t>INTERRUPTOR PARALELO (3 MÓDULOS), 10A/250V, INCLUINDO SUPORTE E PLACA - FORNECIMENTO E INSTALAÇÃO. AF_03/2023</t>
  </si>
  <si>
    <t xml:space="preserve"> 059109 </t>
  </si>
  <si>
    <t>PLACA CEGA 4""x4""</t>
  </si>
  <si>
    <t xml:space="preserve"> 91972 </t>
  </si>
  <si>
    <t>INTERRUPTOR SIMPLES (2 MÓDULOS) COM INTERRUPTOR PARALELO (2 MÓDULOS), 10A/250V, SEM SUPORTE E SEM PLACA - FORNECIMENTO E INSTALAÇÃO. AF_03/2023</t>
  </si>
  <si>
    <t xml:space="preserve"> 92026 </t>
  </si>
  <si>
    <t>INTERRUPTOR SIMPLES (2 MÓDULOS) COM 1 TOMADA DE EMBUTIR 2P+T 10 A, SEM SUPORTE E SEM PLACA - FORNECIMENTO E INSTALAÇÃO. AF_03/2023</t>
  </si>
  <si>
    <t xml:space="preserve"> 060380 </t>
  </si>
  <si>
    <t>SENSOR DE PRESENCA (LIGA/DESLIGA)</t>
  </si>
  <si>
    <t xml:space="preserve"> 13457 </t>
  </si>
  <si>
    <t>Disjuntor tripolar 80 A, padrão DIN (  linha branca ), curva de disparo C, corrente de interrupção 10KA, ref.: Siemens 5SX1 ou similar.</t>
  </si>
  <si>
    <t xml:space="preserve"> 101894 </t>
  </si>
  <si>
    <t>DISJUNTOR TRIPOLAR TIPO NEMA, CORRENTE NOMINAL DE 60 ATÉ 100A - FORNECIMENTO E INSTALAÇÃO. AF_10/2020</t>
  </si>
  <si>
    <t xml:space="preserve"> 93660 </t>
  </si>
  <si>
    <t>DISJUNTOR BIPOLAR TIPO DIN, CORRENTE NOMINAL DE 10A - FORNECIMENTO E INSTALAÇÃO. AF_10/2020</t>
  </si>
  <si>
    <t xml:space="preserve"> 9216 </t>
  </si>
  <si>
    <t>Disjuntor termomagnetico bipolar 80 A, padrão DIN (Europeu - linha branca), curva C, corrente 5KA</t>
  </si>
  <si>
    <t xml:space="preserve"> 151334 </t>
  </si>
  <si>
    <t>Disjuntor caixa moldada termomagnetico fixo, tripolar 200A, Icu: 50kA, 400/500Vca, referência Siemens, Soprano, Schneider ou equivalente</t>
  </si>
  <si>
    <t xml:space="preserve"> 151350 </t>
  </si>
  <si>
    <t>Interruptor Diferencial Bipolar DR 25A, 30mA ? 6kA, referência Siemens, Schneider, WEG ou equivalente</t>
  </si>
  <si>
    <t xml:space="preserve"> 151357 </t>
  </si>
  <si>
    <t>Interruptor Diferencial Bipolar DR 40A, 30mA ? 6kA, referência Siemens, Schneider, WEG ou equivalente</t>
  </si>
  <si>
    <t xml:space="preserve"> 062571 </t>
  </si>
  <si>
    <t>SAIDA PARA ELETRODUTO MG2982 HORIZONTAL</t>
  </si>
  <si>
    <t xml:space="preserve"> 11285 </t>
  </si>
  <si>
    <t>Curva horizontal 100 x 75 mm para eletrocalha metálica, com ângulo 90° (ref.:mopa ou similar)</t>
  </si>
  <si>
    <t xml:space="preserve"> 15.018.0520-0 </t>
  </si>
  <si>
    <t>ELETROCALHA PERFURADA,COM TAMPA,TIPO "U",100X75MM,TRATAMENTO SUPERFICIAL PRE-ZINCADO A QUENTE,EXCLUSIVE CONEXOES,ACESSOR IOS E FIXACAO SUPERIOR.FORNECIMENTO E COLOCACAO</t>
  </si>
  <si>
    <t xml:space="preserve"> 12488 </t>
  </si>
  <si>
    <t>Suporte vertical 150 x 150 mm para fixação de eletrocalha metálica (ref.: mopa ou similar)</t>
  </si>
  <si>
    <t xml:space="preserve"> 15.018.0756-0 </t>
  </si>
  <si>
    <t>TE HORIZONTAL,90º,PARA ELETROCALHA PERFURADA OU LISA,100X75M M.FORNECIMENTO E COLOCACAO</t>
  </si>
  <si>
    <t xml:space="preserve"> 063617 </t>
  </si>
  <si>
    <t>EMENDA PARA ELETROCALHA TIPO U 100X100</t>
  </si>
  <si>
    <t xml:space="preserve"> 16.1.72 </t>
  </si>
  <si>
    <t xml:space="preserve"> 12535 </t>
  </si>
  <si>
    <t>Terminal 100 x 75 mm, zincado, para eletrocalha metálica (ref. Mopa ou similar)</t>
  </si>
  <si>
    <t xml:space="preserve"> 16.1.73 </t>
  </si>
  <si>
    <t xml:space="preserve"> 16.1.74 </t>
  </si>
  <si>
    <t xml:space="preserve"> 16.1.75 </t>
  </si>
  <si>
    <t xml:space="preserve"> 16.1.76 </t>
  </si>
  <si>
    <t xml:space="preserve"> 16.1.77 </t>
  </si>
  <si>
    <t xml:space="preserve"> 16.1.78 </t>
  </si>
  <si>
    <t xml:space="preserve"> 93011 </t>
  </si>
  <si>
    <t>ELETRODUTO RÍGIDO ROSCÁVEL, PVC, DN 85 MM (3"), PARA REDE ENTERRADA DE DISTRIBUIÇÃO DE ENERGIA ELÉTRICA - FORNECIMENTO E INSTALAÇÃO. AF_12/2021</t>
  </si>
  <si>
    <t xml:space="preserve"> 16.1.79 </t>
  </si>
  <si>
    <t xml:space="preserve"> 16.1.80 </t>
  </si>
  <si>
    <t xml:space="preserve"> 16.1.81 </t>
  </si>
  <si>
    <t xml:space="preserve"> 16.1.82 </t>
  </si>
  <si>
    <t xml:space="preserve"> 16.1.83 </t>
  </si>
  <si>
    <t xml:space="preserve"> 4527 </t>
  </si>
  <si>
    <t>Quadro de medição trifásica em Noril com lente para leitura</t>
  </si>
  <si>
    <t xml:space="preserve"> 16.1.84 </t>
  </si>
  <si>
    <t xml:space="preserve"> 150308 </t>
  </si>
  <si>
    <t>Quadro de distribuição de energia, de embutir, com 24 divisões modulares, com barramento</t>
  </si>
  <si>
    <t xml:space="preserve"> 16.1.85 </t>
  </si>
  <si>
    <t xml:space="preserve"> 37.04.270 </t>
  </si>
  <si>
    <t>QUADRO DE DISTRIBUIÇÃO UNIVERSAL DE SOBREPOR, PARA DISJUNTORES 34 DIN / 24 BOLT-ON - 150 A - SEM COMPONENTES</t>
  </si>
  <si>
    <t xml:space="preserve"> 16.1.86 </t>
  </si>
  <si>
    <t xml:space="preserve"> 12232 </t>
  </si>
  <si>
    <t>Quadro de distribuição de embutir, em chapa de aço, para até 56 disjuntores, com barramento, padrão DIN, exclusive disjuntores</t>
  </si>
  <si>
    <t xml:space="preserve"> 16.1.87 </t>
  </si>
  <si>
    <t xml:space="preserve"> 101882 </t>
  </si>
  <si>
    <t>QUADRO DE DISTRIBUIÇÃO DE ENERGIA EM CHAPA DE AÇO GALVANIZADO, DE EMBUTIR, COM BARRAMENTO TRIFÁSICO, PARA 30 DISJUNTORES DIN 225A - FORNECIMENTO E INSTALAÇÃO. AF_10/2020</t>
  </si>
  <si>
    <t xml:space="preserve"> 16.1.88 </t>
  </si>
  <si>
    <t xml:space="preserve"> 061465 </t>
  </si>
  <si>
    <t>CAIXA DE PASSAGEM ELETRICA 40x40cm COM TAMPAO FERRO FUNDIDO</t>
  </si>
  <si>
    <t xml:space="preserve"> 16.1.89 </t>
  </si>
  <si>
    <t xml:space="preserve"> 16.2.6 </t>
  </si>
  <si>
    <t xml:space="preserve"> 41.11.712 </t>
  </si>
  <si>
    <t>LUMINÁRIA LED REDONDA DE EMBUTIR PARA PAREDE OU PISO, ÁREA INTERNA OU EXTERNA, BIVOLT - POTÊNCIA 6 W</t>
  </si>
  <si>
    <t xml:space="preserve"> 078054 </t>
  </si>
  <si>
    <t>HASTE ATERRAMENTO COBREADA 5/8"" x 2,40m 6715 670106 - MAGNET</t>
  </si>
  <si>
    <t xml:space="preserve"> 20.1.2 </t>
  </si>
  <si>
    <t xml:space="preserve"> 94276 </t>
  </si>
  <si>
    <t>ASSENTAMENTO DE GUIA (MEIO-FIO) EM TRECHO CURVO, CONFECCIONADA EM CONCRETO PRÉ-FABRICADO, DIMENSÕES 100X15X13X20 CM (COMPRIMENTO X BASE INFERIOR X BASE SUPERIOR X ALTURA). AF_01/2024</t>
  </si>
  <si>
    <t xml:space="preserve"> 21.2 </t>
  </si>
  <si>
    <t xml:space="preserve"> 2450 </t>
  </si>
  <si>
    <t>Limpeza geral</t>
  </si>
  <si>
    <t xml:space="preserve"> 6704001 </t>
  </si>
  <si>
    <t xml:space="preserve"> 00042695 </t>
  </si>
  <si>
    <t>CURVA PVC, BB, JE, 90 GRAUS, DN 200 MM, PARA TUBO CORRUGADO E/OU LISO, REDE COLETORA ESGOTO</t>
  </si>
  <si>
    <t>SBC 00012689</t>
  </si>
  <si>
    <t>SBC 120220</t>
  </si>
  <si>
    <t>SBC 110016</t>
  </si>
  <si>
    <t>ORSE 4065</t>
  </si>
  <si>
    <t>Utilizada composição SINAPI de referência na qual foi descontinuada em 2020 e atualizados os insumos para o SINAPI da data base do orçamento, sendo eles, 00020079 para 00020078 com conversão de coeficiente proporcional ao consumo da embalagem e 00042692 por 00042695.</t>
  </si>
  <si>
    <t xml:space="preserve">CPOS/CDHU 41.11.712 </t>
  </si>
  <si>
    <t xml:space="preserve">CPOS/CDHU 24.02.460 </t>
  </si>
  <si>
    <t xml:space="preserve">SBC 112370 </t>
  </si>
  <si>
    <t xml:space="preserve">ORSE 12220 </t>
  </si>
  <si>
    <t xml:space="preserve">IOPES 170602 </t>
  </si>
  <si>
    <t xml:space="preserve">CPOS/CDHU 47.05.020 </t>
  </si>
  <si>
    <t xml:space="preserve">CPOS/CDHU 47.20.320 </t>
  </si>
  <si>
    <t xml:space="preserve">ORSE 4717 </t>
  </si>
  <si>
    <t xml:space="preserve">SBC 060680 </t>
  </si>
  <si>
    <t xml:space="preserve">SBC 059109 </t>
  </si>
  <si>
    <t xml:space="preserve">SBC 060380 </t>
  </si>
  <si>
    <t xml:space="preserve">ORSE 13457 </t>
  </si>
  <si>
    <t xml:space="preserve">ORSE 9216 </t>
  </si>
  <si>
    <t xml:space="preserve">IOPES 151334 </t>
  </si>
  <si>
    <t xml:space="preserve">IOPES 151350 </t>
  </si>
  <si>
    <t xml:space="preserve">IOPES 151357 </t>
  </si>
  <si>
    <t xml:space="preserve">SBC 062571 </t>
  </si>
  <si>
    <t xml:space="preserve">ORSE 11285 </t>
  </si>
  <si>
    <t xml:space="preserve">EMOP 15.018.0520-0 </t>
  </si>
  <si>
    <t xml:space="preserve">ORSE 12488 </t>
  </si>
  <si>
    <t xml:space="preserve">EMOP 15.018.0756-0 </t>
  </si>
  <si>
    <t xml:space="preserve">SBC 063617 </t>
  </si>
  <si>
    <t xml:space="preserve">ORSE 12535 </t>
  </si>
  <si>
    <t xml:space="preserve">ORSE 4527 </t>
  </si>
  <si>
    <t xml:space="preserve">IOPES 150308 </t>
  </si>
  <si>
    <t xml:space="preserve">CPOS/CDHU 37.04.270 </t>
  </si>
  <si>
    <t xml:space="preserve">ORSE 12232 </t>
  </si>
  <si>
    <t xml:space="preserve">SBC 061465 </t>
  </si>
  <si>
    <t xml:space="preserve">SBC 078054 </t>
  </si>
  <si>
    <t xml:space="preserve">SBC 070205 </t>
  </si>
  <si>
    <t xml:space="preserve">ORSE 2450 </t>
  </si>
  <si>
    <t>Unidade Básica de Saúde Porte 2 - Área Construída: 500,17m²</t>
  </si>
  <si>
    <t xml:space="preserve"> 94991 </t>
  </si>
  <si>
    <t>EXECUÇÃO DE PASSEIO (CALÇADA) OU PISO DE CONCRETO COM CONCRETO MOLDADO IN LOCO, USINADO C20, ACABAMENTO CONVENCIONAL, NÃO ARMADO. AF_08/2022</t>
  </si>
  <si>
    <t>01</t>
  </si>
  <si>
    <t xml:space="preserve"> 9.2.2 </t>
  </si>
  <si>
    <t xml:space="preserve"> 12623 </t>
  </si>
  <si>
    <t>Piso alta resistência ou industrial de 12 mm, comum, cor cinza, com juntas plásticas, sem polimento, ecclusive argamassa de regularização, aplicado</t>
  </si>
  <si>
    <t>M.O. sem BDI</t>
  </si>
  <si>
    <t>Mat sem BDI</t>
  </si>
  <si>
    <t>FIXAÇÃO (ENCUNHAMENTO) DE ALVENARIA DE VEDAÇÃO COM ARGAMASSA APLICADA COM BISNAGA. AF_03/2024</t>
  </si>
  <si>
    <t xml:space="preserve">CHUMBADOR CB 3/8""x2.1/2""+ PARAFUSO </t>
  </si>
  <si>
    <t>13.01.320</t>
  </si>
  <si>
    <t>Laje pré-fabricada unidirecional em viga treliçada/lajota em EPS LT 16 (12 + 4), com capa de concreto de 25 MPa</t>
  </si>
  <si>
    <t>RICARDO BOMBAS - Pressurizador Rowa MAX PRESS 270 VF Monofásico 220V</t>
  </si>
  <si>
    <t>https://www.ricardobombas.com.br/PressurizadorRowaMAXPRESS270VFMonofsico220V/prod-5423892/?form=MG0AV3</t>
  </si>
  <si>
    <t>RICARDO BOMBAS - Pressurizador Rowa MAX PRESS 20E Monofásico 220V</t>
  </si>
  <si>
    <t xml:space="preserve"> 14.3.14</t>
  </si>
  <si>
    <t>02/2025</t>
  </si>
  <si>
    <t>Kleber Viana Bueno Telles</t>
  </si>
  <si>
    <t>Engenheiro Civil  - CREA 27115 DPE</t>
  </si>
  <si>
    <t>PE</t>
  </si>
  <si>
    <t>OBRA:</t>
  </si>
  <si>
    <t>DATA</t>
  </si>
  <si>
    <t>LOCAL:</t>
  </si>
  <si>
    <t>PERÍODO (MESES)</t>
  </si>
  <si>
    <t>MÊS 1</t>
  </si>
  <si>
    <t>MÊS 2</t>
  </si>
  <si>
    <t>MÊS 3</t>
  </si>
  <si>
    <t>MÊS 4</t>
  </si>
  <si>
    <t>MÊS 5</t>
  </si>
  <si>
    <t>MÊS 6</t>
  </si>
  <si>
    <t>MÊS 7</t>
  </si>
  <si>
    <t>MÊS 8</t>
  </si>
  <si>
    <t>MÊS 9</t>
  </si>
  <si>
    <t>TOTAL NO PERÍODO</t>
  </si>
  <si>
    <t>ACUMULADO</t>
  </si>
  <si>
    <t>Sede, Condado - PE</t>
  </si>
  <si>
    <t xml:space="preserve">CRONOGRAMA FÍSICO - FINANCEIRO </t>
  </si>
  <si>
    <t>Valor sem BDI</t>
  </si>
  <si>
    <t/>
  </si>
  <si>
    <t>SINAPI (12/2024) - CPOS/CDHU (09/2024) - SBC (12/2024) - ORSE (12/2024) - IOPES (03/2024) - EMOP (12/2024) - SEINFRA 027 (DESONERADO)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</si>
</sst>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[$-416]mmmm\-yy"/>
    <numFmt numFmtId="165" formatCode="_-* #,##0.00_-;\-* #,##0.00_-;_-* &quot;-&quot;??_-;_-@"/>
    <numFmt numFmtId="166" formatCode="_-&quot;R$&quot;\ * #,##0.00_-;\-&quot;R$&quot;\ * #,##0.00_-;_-&quot;R$&quot;\ * &quot;-&quot;??_-;_-@"/>
    <numFmt numFmtId="167" formatCode="&quot;R$&quot;\ #,##0.00"/>
    <numFmt numFmtId="168" formatCode="#,##0.00\ %"/>
    <numFmt numFmtId="169" formatCode="#,##0.0000000"/>
    <numFmt numFmtId="170" formatCode="[$-416]mmmm\-yy;@"/>
  </numFmts>
  <fonts count="43" x14ac:knownFonts="1">
    <font>
      <sz val="11"/>
      <color theme="1"/>
      <name val="Arial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</font>
    <font>
      <b/>
      <sz val="10"/>
      <color theme="1"/>
      <name val="Arial"/>
      <family val="2"/>
    </font>
    <font>
      <sz val="16"/>
      <color theme="1"/>
      <name val="Arial"/>
      <family val="2"/>
    </font>
    <font>
      <b/>
      <sz val="17"/>
      <color theme="1"/>
      <name val="Arial"/>
      <family val="2"/>
    </font>
    <font>
      <sz val="11"/>
      <name val="Arial"/>
      <family val="2"/>
    </font>
    <font>
      <sz val="12"/>
      <color theme="1"/>
      <name val="Arial"/>
      <family val="2"/>
    </font>
    <font>
      <b/>
      <sz val="11"/>
      <color rgb="FF000000"/>
      <name val="Arial"/>
      <family val="2"/>
    </font>
    <font>
      <b/>
      <sz val="11"/>
      <color theme="1"/>
      <name val="Arial"/>
      <family val="2"/>
    </font>
    <font>
      <sz val="11"/>
      <color rgb="FF000000"/>
      <name val="Arial"/>
      <family val="2"/>
    </font>
    <font>
      <b/>
      <sz val="12"/>
      <color theme="1"/>
      <name val="Arial"/>
      <family val="2"/>
    </font>
    <font>
      <sz val="10"/>
      <color theme="1"/>
      <name val="Arial"/>
      <family val="2"/>
    </font>
    <font>
      <b/>
      <sz val="12"/>
      <color rgb="FF000000"/>
      <name val="Arial"/>
      <family val="2"/>
    </font>
    <font>
      <b/>
      <sz val="12"/>
      <color theme="0"/>
      <name val="Arial"/>
      <family val="2"/>
    </font>
    <font>
      <sz val="12"/>
      <color rgb="FF000000"/>
      <name val="Arial"/>
      <family val="2"/>
    </font>
    <font>
      <b/>
      <sz val="14"/>
      <color theme="1"/>
      <name val="Arial"/>
      <family val="2"/>
    </font>
    <font>
      <sz val="14"/>
      <color theme="1"/>
      <name val="Arial"/>
      <family val="2"/>
    </font>
    <font>
      <sz val="11"/>
      <color theme="1"/>
      <name val="Arial"/>
      <family val="2"/>
      <scheme val="minor"/>
    </font>
    <font>
      <sz val="10"/>
      <color rgb="FF000000"/>
      <name val="Arial"/>
      <family val="1"/>
    </font>
    <font>
      <b/>
      <sz val="10"/>
      <name val="Arial"/>
      <family val="1"/>
    </font>
    <font>
      <sz val="10"/>
      <name val="Arial"/>
      <family val="1"/>
    </font>
    <font>
      <b/>
      <sz val="11"/>
      <name val="Arial"/>
      <family val="1"/>
    </font>
    <font>
      <sz val="10"/>
      <color rgb="FF000000"/>
      <name val="Arial"/>
      <family val="2"/>
    </font>
    <font>
      <b/>
      <sz val="11"/>
      <color rgb="FF000000"/>
      <name val="Arial"/>
      <family val="1"/>
    </font>
    <font>
      <sz val="11"/>
      <color rgb="FF000000"/>
      <name val="Arial"/>
      <family val="1"/>
    </font>
    <font>
      <sz val="11"/>
      <name val="Arial"/>
      <family val="1"/>
    </font>
    <font>
      <b/>
      <sz val="14"/>
      <color rgb="FFFFFFFF"/>
      <name val="Arial"/>
      <family val="2"/>
    </font>
    <font>
      <b/>
      <sz val="10"/>
      <color theme="0"/>
      <name val="Arial"/>
      <family val="2"/>
    </font>
    <font>
      <b/>
      <sz val="10"/>
      <color rgb="FFFFFFFF"/>
      <name val="Arial"/>
      <family val="2"/>
    </font>
    <font>
      <sz val="11"/>
      <color theme="1"/>
      <name val="Arial"/>
      <family val="2"/>
      <scheme val="minor"/>
    </font>
    <font>
      <sz val="8"/>
      <name val="Arial"/>
      <family val="2"/>
      <scheme val="minor"/>
    </font>
    <font>
      <sz val="12"/>
      <name val="Arial"/>
      <family val="2"/>
    </font>
    <font>
      <sz val="10"/>
      <color theme="1"/>
      <name val="Arial"/>
    </font>
    <font>
      <u/>
      <sz val="11"/>
      <color theme="10"/>
      <name val="Arial"/>
      <scheme val="minor"/>
    </font>
    <font>
      <sz val="9"/>
      <color indexed="81"/>
      <name val="Segoe UI"/>
      <family val="2"/>
    </font>
    <font>
      <b/>
      <sz val="9"/>
      <color indexed="81"/>
      <name val="Segoe UI"/>
      <family val="2"/>
    </font>
    <font>
      <b/>
      <sz val="10"/>
      <color rgb="FF000000"/>
      <name val="Arial"/>
      <family val="2"/>
    </font>
    <font>
      <sz val="11"/>
      <color theme="1"/>
      <name val="Arial"/>
      <scheme val="minor"/>
    </font>
    <font>
      <sz val="10.5"/>
      <color theme="1"/>
      <name val="Arial"/>
      <family val="2"/>
    </font>
    <font>
      <b/>
      <sz val="10.5"/>
      <color theme="1"/>
      <name val="Arial"/>
      <family val="2"/>
    </font>
    <font>
      <b/>
      <sz val="22"/>
      <color theme="1"/>
      <name val="Arial"/>
      <family val="2"/>
    </font>
  </fonts>
  <fills count="18">
    <fill>
      <patternFill patternType="none"/>
    </fill>
    <fill>
      <patternFill patternType="gray125"/>
    </fill>
    <fill>
      <patternFill patternType="solid">
        <fgColor rgb="FF151F3A"/>
        <bgColor rgb="FF151F3A"/>
      </patternFill>
    </fill>
    <fill>
      <patternFill patternType="solid">
        <fgColor theme="0"/>
        <bgColor theme="0"/>
      </patternFill>
    </fill>
    <fill>
      <patternFill patternType="solid">
        <fgColor rgb="FFFFFFFF"/>
        <bgColor rgb="FFFFFFFF"/>
      </patternFill>
    </fill>
    <fill>
      <patternFill patternType="solid">
        <fgColor rgb="FFF2F2F2"/>
        <bgColor rgb="FFF2F2F2"/>
      </patternFill>
    </fill>
    <fill>
      <patternFill patternType="solid">
        <fgColor rgb="FFD8ECF6"/>
      </patternFill>
    </fill>
    <fill>
      <patternFill patternType="solid">
        <fgColor rgb="FFDFF0D8"/>
      </patternFill>
    </fill>
    <fill>
      <patternFill patternType="solid">
        <fgColor rgb="FFFFFFFF"/>
      </patternFill>
    </fill>
    <fill>
      <patternFill patternType="solid">
        <fgColor rgb="FFD6D6D6"/>
      </patternFill>
    </fill>
    <fill>
      <patternFill patternType="solid">
        <fgColor rgb="FFEFEFEF"/>
      </patternFill>
    </fill>
    <fill>
      <patternFill patternType="solid">
        <fgColor rgb="FFFFFF00"/>
        <bgColor indexed="64"/>
      </patternFill>
    </fill>
    <fill>
      <patternFill patternType="solid">
        <fgColor rgb="FFFFFF00"/>
        <bgColor rgb="FFFFFFFF"/>
      </patternFill>
    </fill>
    <fill>
      <patternFill patternType="solid">
        <fgColor rgb="FFFFFF00"/>
        <bgColor theme="0"/>
      </patternFill>
    </fill>
    <fill>
      <patternFill patternType="solid">
        <fgColor rgb="FFFFFF00"/>
      </patternFill>
    </fill>
    <fill>
      <patternFill patternType="solid">
        <fgColor theme="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0" tint="-4.9989318521683403E-2"/>
        <bgColor indexed="64"/>
      </patternFill>
    </fill>
  </fills>
  <borders count="74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CCCCCC"/>
      </left>
      <right style="thin">
        <color rgb="FFCCCCCC"/>
      </right>
      <top style="thin">
        <color rgb="FFCCCCCC"/>
      </top>
      <bottom style="thin">
        <color rgb="FFCCCCCC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 style="thick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hair">
        <color rgb="FF000000"/>
      </bottom>
      <diagonal/>
    </border>
    <border>
      <left/>
      <right style="thin">
        <color rgb="FF000000"/>
      </right>
      <top style="thin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thin">
        <color rgb="FF000000"/>
      </bottom>
      <diagonal/>
    </border>
    <border>
      <left/>
      <right style="thin">
        <color rgb="FF000000"/>
      </right>
      <top style="hair">
        <color rgb="FF000000"/>
      </top>
      <bottom style="thin">
        <color rgb="FF000000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10">
    <xf numFmtId="0" fontId="0" fillId="0" borderId="0"/>
    <xf numFmtId="43" fontId="19" fillId="0" borderId="0" applyFont="0" applyFill="0" applyBorder="0" applyAlignment="0" applyProtection="0"/>
    <xf numFmtId="0" fontId="27" fillId="0" borderId="25"/>
    <xf numFmtId="0" fontId="2" fillId="0" borderId="25"/>
    <xf numFmtId="0" fontId="31" fillId="0" borderId="25"/>
    <xf numFmtId="0" fontId="35" fillId="0" borderId="0" applyNumberFormat="0" applyFill="0" applyBorder="0" applyAlignment="0" applyProtection="0"/>
    <xf numFmtId="9" fontId="39" fillId="0" borderId="0" applyFont="0" applyFill="0" applyBorder="0" applyAlignment="0" applyProtection="0"/>
    <xf numFmtId="0" fontId="1" fillId="0" borderId="25"/>
    <xf numFmtId="44" fontId="1" fillId="0" borderId="25" applyFont="0" applyFill="0" applyBorder="0" applyAlignment="0" applyProtection="0"/>
    <xf numFmtId="9" fontId="1" fillId="0" borderId="25" applyFont="0" applyFill="0" applyBorder="0" applyAlignment="0" applyProtection="0"/>
  </cellStyleXfs>
  <cellXfs count="483">
    <xf numFmtId="0" fontId="0" fillId="0" borderId="0" xfId="0"/>
    <xf numFmtId="0" fontId="3" fillId="0" borderId="0" xfId="0" applyFont="1"/>
    <xf numFmtId="0" fontId="4" fillId="0" borderId="0" xfId="0" applyFont="1" applyAlignment="1">
      <alignment horizontal="center" vertical="center"/>
    </xf>
    <xf numFmtId="0" fontId="5" fillId="0" borderId="0" xfId="0" applyFont="1"/>
    <xf numFmtId="0" fontId="8" fillId="0" borderId="0" xfId="0" applyFont="1" applyAlignment="1">
      <alignment horizontal="center" vertical="center"/>
    </xf>
    <xf numFmtId="0" fontId="9" fillId="0" borderId="1" xfId="0" applyFont="1" applyBorder="1" applyAlignment="1">
      <alignment horizontal="left" vertical="center"/>
    </xf>
    <xf numFmtId="0" fontId="10" fillId="0" borderId="2" xfId="0" applyFont="1" applyBorder="1" applyAlignment="1">
      <alignment vertical="center"/>
    </xf>
    <xf numFmtId="0" fontId="10" fillId="0" borderId="3" xfId="0" applyFont="1" applyBorder="1" applyAlignment="1">
      <alignment vertical="center"/>
    </xf>
    <xf numFmtId="49" fontId="11" fillId="0" borderId="4" xfId="0" applyNumberFormat="1" applyFont="1" applyBorder="1" applyAlignment="1">
      <alignment horizontal="left" vertical="center"/>
    </xf>
    <xf numFmtId="0" fontId="10" fillId="0" borderId="0" xfId="0" applyFont="1" applyAlignment="1">
      <alignment vertical="center"/>
    </xf>
    <xf numFmtId="0" fontId="10" fillId="0" borderId="5" xfId="0" applyFont="1" applyBorder="1" applyAlignment="1">
      <alignment vertical="center"/>
    </xf>
    <xf numFmtId="0" fontId="3" fillId="0" borderId="4" xfId="0" applyFont="1" applyBorder="1" applyAlignment="1">
      <alignment horizontal="left" vertical="center"/>
    </xf>
    <xf numFmtId="0" fontId="9" fillId="0" borderId="4" xfId="0" applyFont="1" applyBorder="1" applyAlignment="1">
      <alignment horizontal="left" vertical="center"/>
    </xf>
    <xf numFmtId="0" fontId="3" fillId="0" borderId="6" xfId="0" applyFont="1" applyBorder="1" applyAlignment="1">
      <alignment horizontal="left" vertical="center"/>
    </xf>
    <xf numFmtId="0" fontId="10" fillId="0" borderId="7" xfId="0" applyFont="1" applyBorder="1" applyAlignment="1">
      <alignment vertical="center"/>
    </xf>
    <xf numFmtId="0" fontId="10" fillId="0" borderId="8" xfId="0" applyFont="1" applyBorder="1" applyAlignment="1">
      <alignment vertical="center"/>
    </xf>
    <xf numFmtId="0" fontId="8" fillId="0" borderId="9" xfId="0" applyFont="1" applyBorder="1" applyAlignment="1">
      <alignment horizontal="left" vertical="center"/>
    </xf>
    <xf numFmtId="0" fontId="8" fillId="0" borderId="9" xfId="0" applyFont="1" applyBorder="1" applyAlignment="1">
      <alignment horizontal="center" vertical="center"/>
    </xf>
    <xf numFmtId="0" fontId="12" fillId="0" borderId="9" xfId="0" applyFont="1" applyBorder="1" applyAlignment="1">
      <alignment vertical="center"/>
    </xf>
    <xf numFmtId="0" fontId="8" fillId="0" borderId="10" xfId="0" applyFont="1" applyBorder="1" applyAlignment="1">
      <alignment horizontal="right" vertical="center"/>
    </xf>
    <xf numFmtId="49" fontId="12" fillId="0" borderId="2" xfId="0" applyNumberFormat="1" applyFont="1" applyBorder="1" applyAlignment="1">
      <alignment vertical="center"/>
    </xf>
    <xf numFmtId="49" fontId="12" fillId="0" borderId="3" xfId="0" applyNumberFormat="1" applyFont="1" applyBorder="1" applyAlignment="1">
      <alignment vertical="center"/>
    </xf>
    <xf numFmtId="0" fontId="13" fillId="0" borderId="0" xfId="0" applyFont="1" applyAlignment="1">
      <alignment horizontal="center" vertical="center"/>
    </xf>
    <xf numFmtId="0" fontId="12" fillId="0" borderId="11" xfId="0" applyFont="1" applyBorder="1" applyAlignment="1">
      <alignment horizontal="left" vertical="center" wrapText="1"/>
    </xf>
    <xf numFmtId="49" fontId="14" fillId="0" borderId="1" xfId="0" applyNumberFormat="1" applyFont="1" applyBorder="1" applyAlignment="1">
      <alignment vertical="center"/>
    </xf>
    <xf numFmtId="164" fontId="14" fillId="0" borderId="11" xfId="0" applyNumberFormat="1" applyFont="1" applyBorder="1" applyAlignment="1">
      <alignment horizontal="left" vertical="center"/>
    </xf>
    <xf numFmtId="49" fontId="12" fillId="0" borderId="9" xfId="0" applyNumberFormat="1" applyFont="1" applyBorder="1" applyAlignment="1">
      <alignment vertical="center"/>
    </xf>
    <xf numFmtId="49" fontId="12" fillId="0" borderId="12" xfId="0" applyNumberFormat="1" applyFont="1" applyBorder="1" applyAlignment="1">
      <alignment vertical="center"/>
    </xf>
    <xf numFmtId="10" fontId="14" fillId="0" borderId="11" xfId="0" applyNumberFormat="1" applyFont="1" applyBorder="1" applyAlignment="1">
      <alignment horizontal="left" vertical="center"/>
    </xf>
    <xf numFmtId="4" fontId="14" fillId="0" borderId="11" xfId="0" applyNumberFormat="1" applyFont="1" applyBorder="1" applyAlignment="1">
      <alignment horizontal="left" vertical="center"/>
    </xf>
    <xf numFmtId="49" fontId="12" fillId="0" borderId="11" xfId="0" applyNumberFormat="1" applyFont="1" applyBorder="1" applyAlignment="1">
      <alignment vertical="center"/>
    </xf>
    <xf numFmtId="0" fontId="8" fillId="0" borderId="10" xfId="0" applyFont="1" applyBorder="1" applyAlignment="1">
      <alignment horizontal="right" vertical="center" wrapText="1"/>
    </xf>
    <xf numFmtId="0" fontId="8" fillId="0" borderId="0" xfId="0" applyFont="1" applyAlignment="1">
      <alignment horizontal="right" vertical="center"/>
    </xf>
    <xf numFmtId="49" fontId="12" fillId="0" borderId="0" xfId="0" applyNumberFormat="1" applyFont="1" applyAlignment="1">
      <alignment vertical="center"/>
    </xf>
    <xf numFmtId="0" fontId="12" fillId="0" borderId="1" xfId="0" applyFont="1" applyBorder="1" applyAlignment="1">
      <alignment horizontal="center" vertical="center"/>
    </xf>
    <xf numFmtId="49" fontId="12" fillId="0" borderId="2" xfId="0" applyNumberFormat="1" applyFont="1" applyBorder="1" applyAlignment="1">
      <alignment wrapText="1"/>
    </xf>
    <xf numFmtId="0" fontId="12" fillId="0" borderId="2" xfId="0" applyFont="1" applyBorder="1"/>
    <xf numFmtId="0" fontId="12" fillId="0" borderId="3" xfId="0" applyFont="1" applyBorder="1"/>
    <xf numFmtId="0" fontId="12" fillId="0" borderId="4" xfId="0" applyFont="1" applyBorder="1"/>
    <xf numFmtId="0" fontId="12" fillId="0" borderId="0" xfId="0" applyFont="1"/>
    <xf numFmtId="0" fontId="12" fillId="0" borderId="5" xfId="0" applyFont="1" applyBorder="1"/>
    <xf numFmtId="0" fontId="12" fillId="0" borderId="6" xfId="0" applyFont="1" applyBorder="1" applyAlignment="1">
      <alignment horizontal="center" vertical="center"/>
    </xf>
    <xf numFmtId="0" fontId="8" fillId="0" borderId="7" xfId="0" applyFont="1" applyBorder="1" applyAlignment="1">
      <alignment horizontal="center" vertical="center"/>
    </xf>
    <xf numFmtId="0" fontId="8" fillId="0" borderId="8" xfId="0" applyFont="1" applyBorder="1" applyAlignment="1">
      <alignment horizontal="center" vertical="center"/>
    </xf>
    <xf numFmtId="0" fontId="3" fillId="0" borderId="0" xfId="0" applyFont="1" applyAlignment="1">
      <alignment vertical="center"/>
    </xf>
    <xf numFmtId="165" fontId="3" fillId="0" borderId="0" xfId="0" applyNumberFormat="1" applyFont="1" applyAlignment="1">
      <alignment vertical="center"/>
    </xf>
    <xf numFmtId="0" fontId="5" fillId="0" borderId="0" xfId="0" applyFont="1" applyAlignment="1">
      <alignment vertical="center"/>
    </xf>
    <xf numFmtId="165" fontId="5" fillId="0" borderId="0" xfId="0" applyNumberFormat="1" applyFont="1" applyAlignment="1">
      <alignment vertical="center"/>
    </xf>
    <xf numFmtId="0" fontId="8" fillId="0" borderId="0" xfId="0" applyFont="1" applyAlignment="1">
      <alignment vertical="center"/>
    </xf>
    <xf numFmtId="165" fontId="8" fillId="0" borderId="0" xfId="0" applyNumberFormat="1" applyFont="1" applyAlignment="1">
      <alignment vertical="center"/>
    </xf>
    <xf numFmtId="0" fontId="10" fillId="0" borderId="1" xfId="0" applyFont="1" applyBorder="1" applyAlignment="1">
      <alignment horizontal="left" vertical="center"/>
    </xf>
    <xf numFmtId="0" fontId="3" fillId="0" borderId="2" xfId="0" applyFont="1" applyBorder="1" applyAlignment="1">
      <alignment horizontal="center" vertical="center"/>
    </xf>
    <xf numFmtId="0" fontId="10" fillId="0" borderId="2" xfId="0" applyFont="1" applyBorder="1" applyAlignment="1">
      <alignment horizontal="left" vertical="center"/>
    </xf>
    <xf numFmtId="0" fontId="10" fillId="0" borderId="3" xfId="0" applyFont="1" applyBorder="1" applyAlignment="1">
      <alignment horizontal="left" vertical="center"/>
    </xf>
    <xf numFmtId="49" fontId="3" fillId="0" borderId="4" xfId="0" applyNumberFormat="1" applyFont="1" applyBorder="1" applyAlignment="1">
      <alignment horizontal="left" vertical="center"/>
    </xf>
    <xf numFmtId="0" fontId="3" fillId="0" borderId="0" xfId="0" applyFont="1" applyAlignment="1">
      <alignment horizontal="center" vertical="center"/>
    </xf>
    <xf numFmtId="10" fontId="3" fillId="0" borderId="0" xfId="0" applyNumberFormat="1" applyFont="1" applyAlignment="1">
      <alignment horizontal="left" vertical="center" wrapText="1"/>
    </xf>
    <xf numFmtId="49" fontId="3" fillId="0" borderId="5" xfId="0" applyNumberFormat="1" applyFont="1" applyBorder="1" applyAlignment="1">
      <alignment horizontal="left" vertical="center"/>
    </xf>
    <xf numFmtId="0" fontId="3" fillId="0" borderId="4" xfId="0" applyFont="1" applyBorder="1" applyAlignment="1">
      <alignment vertical="center"/>
    </xf>
    <xf numFmtId="0" fontId="3" fillId="0" borderId="5" xfId="0" applyFont="1" applyBorder="1" applyAlignment="1">
      <alignment horizontal="left" vertical="center"/>
    </xf>
    <xf numFmtId="0" fontId="10" fillId="0" borderId="4" xfId="0" applyFont="1" applyBorder="1" applyAlignment="1">
      <alignment horizontal="left" vertical="center"/>
    </xf>
    <xf numFmtId="0" fontId="10" fillId="0" borderId="0" xfId="0" applyFont="1" applyAlignment="1">
      <alignment horizontal="left" vertical="center"/>
    </xf>
    <xf numFmtId="49" fontId="10" fillId="0" borderId="5" xfId="0" applyNumberFormat="1" applyFont="1" applyBorder="1" applyAlignment="1">
      <alignment horizontal="left" vertical="center"/>
    </xf>
    <xf numFmtId="0" fontId="3" fillId="0" borderId="7" xfId="0" applyFont="1" applyBorder="1"/>
    <xf numFmtId="0" fontId="3" fillId="0" borderId="8" xfId="0" applyFont="1" applyBorder="1" applyAlignment="1">
      <alignment vertical="center"/>
    </xf>
    <xf numFmtId="0" fontId="12" fillId="0" borderId="0" xfId="0" applyFont="1" applyAlignment="1">
      <alignment horizontal="center" vertical="center"/>
    </xf>
    <xf numFmtId="0" fontId="12" fillId="0" borderId="0" xfId="0" applyFont="1" applyAlignment="1">
      <alignment vertical="center"/>
    </xf>
    <xf numFmtId="0" fontId="15" fillId="2" borderId="10" xfId="0" applyFont="1" applyFill="1" applyBorder="1" applyAlignment="1">
      <alignment horizontal="center" vertical="center"/>
    </xf>
    <xf numFmtId="0" fontId="15" fillId="2" borderId="13" xfId="0" applyFont="1" applyFill="1" applyBorder="1" applyAlignment="1">
      <alignment horizontal="center" vertical="center"/>
    </xf>
    <xf numFmtId="0" fontId="15" fillId="2" borderId="10" xfId="0" applyFont="1" applyFill="1" applyBorder="1" applyAlignment="1">
      <alignment horizontal="center" vertical="center" wrapText="1"/>
    </xf>
    <xf numFmtId="10" fontId="15" fillId="2" borderId="10" xfId="0" applyNumberFormat="1" applyFont="1" applyFill="1" applyBorder="1" applyAlignment="1">
      <alignment horizontal="center" vertical="center"/>
    </xf>
    <xf numFmtId="166" fontId="8" fillId="0" borderId="0" xfId="0" applyNumberFormat="1" applyFont="1" applyAlignment="1">
      <alignment horizontal="center" vertical="center"/>
    </xf>
    <xf numFmtId="0" fontId="12" fillId="3" borderId="14" xfId="0" applyFont="1" applyFill="1" applyBorder="1" applyAlignment="1">
      <alignment horizontal="center" vertical="center"/>
    </xf>
    <xf numFmtId="0" fontId="12" fillId="3" borderId="15" xfId="0" applyFont="1" applyFill="1" applyBorder="1" applyAlignment="1">
      <alignment horizontal="center" vertical="center"/>
    </xf>
    <xf numFmtId="0" fontId="14" fillId="0" borderId="11" xfId="0" applyFont="1" applyBorder="1" applyAlignment="1">
      <alignment horizontal="center" vertical="center"/>
    </xf>
    <xf numFmtId="166" fontId="8" fillId="0" borderId="12" xfId="0" applyNumberFormat="1" applyFont="1" applyBorder="1" applyAlignment="1">
      <alignment horizontal="center" vertical="center"/>
    </xf>
    <xf numFmtId="166" fontId="12" fillId="0" borderId="12" xfId="0" applyNumberFormat="1" applyFont="1" applyBorder="1" applyAlignment="1">
      <alignment horizontal="center" vertical="center"/>
    </xf>
    <xf numFmtId="10" fontId="12" fillId="0" borderId="10" xfId="0" applyNumberFormat="1" applyFont="1" applyBorder="1" applyAlignment="1">
      <alignment horizontal="center" vertical="center"/>
    </xf>
    <xf numFmtId="166" fontId="16" fillId="0" borderId="12" xfId="0" applyNumberFormat="1" applyFont="1" applyBorder="1" applyAlignment="1">
      <alignment horizontal="center" vertical="center"/>
    </xf>
    <xf numFmtId="0" fontId="12" fillId="3" borderId="16" xfId="0" applyFont="1" applyFill="1" applyBorder="1" applyAlignment="1">
      <alignment horizontal="center" vertical="center"/>
    </xf>
    <xf numFmtId="166" fontId="15" fillId="2" borderId="10" xfId="0" applyNumberFormat="1" applyFont="1" applyFill="1" applyBorder="1" applyAlignment="1">
      <alignment horizontal="center" vertical="center"/>
    </xf>
    <xf numFmtId="166" fontId="3" fillId="0" borderId="0" xfId="0" applyNumberFormat="1" applyFont="1"/>
    <xf numFmtId="0" fontId="4" fillId="0" borderId="1" xfId="0" quotePrefix="1" applyFont="1" applyBorder="1" applyAlignment="1">
      <alignment horizontal="left" vertical="center"/>
    </xf>
    <xf numFmtId="0" fontId="8" fillId="0" borderId="2" xfId="0" applyFont="1" applyBorder="1" applyAlignment="1">
      <alignment horizontal="center" vertical="center"/>
    </xf>
    <xf numFmtId="0" fontId="8" fillId="0" borderId="3" xfId="0" applyFont="1" applyBorder="1" applyAlignment="1">
      <alignment horizontal="center" vertical="center"/>
    </xf>
    <xf numFmtId="166" fontId="8" fillId="0" borderId="0" xfId="0" applyNumberFormat="1" applyFont="1" applyAlignment="1">
      <alignment vertical="center"/>
    </xf>
    <xf numFmtId="0" fontId="12" fillId="0" borderId="1" xfId="0" applyFont="1" applyBorder="1" applyAlignment="1">
      <alignment vertical="center"/>
    </xf>
    <xf numFmtId="0" fontId="12" fillId="0" borderId="2" xfId="0" applyFont="1" applyBorder="1" applyAlignment="1">
      <alignment vertical="center"/>
    </xf>
    <xf numFmtId="0" fontId="12" fillId="0" borderId="3" xfId="0" applyFont="1" applyBorder="1" applyAlignment="1">
      <alignment vertical="center"/>
    </xf>
    <xf numFmtId="0" fontId="12" fillId="0" borderId="4" xfId="0" applyFont="1" applyBorder="1" applyAlignment="1">
      <alignment vertical="center"/>
    </xf>
    <xf numFmtId="0" fontId="12" fillId="0" borderId="5" xfId="0" applyFont="1" applyBorder="1" applyAlignment="1">
      <alignment vertical="center"/>
    </xf>
    <xf numFmtId="0" fontId="8" fillId="0" borderId="6" xfId="0" applyFont="1" applyBorder="1" applyAlignment="1">
      <alignment horizontal="center" vertical="center"/>
    </xf>
    <xf numFmtId="166" fontId="17" fillId="0" borderId="0" xfId="0" applyNumberFormat="1" applyFont="1" applyAlignment="1">
      <alignment horizontal="center" vertical="center"/>
    </xf>
    <xf numFmtId="0" fontId="18" fillId="0" borderId="0" xfId="0" applyFont="1" applyAlignment="1">
      <alignment horizontal="center" vertical="center"/>
    </xf>
    <xf numFmtId="0" fontId="8" fillId="3" borderId="17" xfId="0" applyFont="1" applyFill="1" applyBorder="1" applyAlignment="1">
      <alignment horizontal="center" vertical="center"/>
    </xf>
    <xf numFmtId="49" fontId="8" fillId="0" borderId="0" xfId="0" applyNumberFormat="1" applyFont="1" applyAlignment="1">
      <alignment horizontal="center" vertical="center"/>
    </xf>
    <xf numFmtId="0" fontId="8" fillId="0" borderId="0" xfId="0" applyFont="1" applyAlignment="1">
      <alignment horizontal="center" vertical="center" wrapText="1"/>
    </xf>
    <xf numFmtId="4" fontId="8" fillId="0" borderId="0" xfId="0" applyNumberFormat="1" applyFont="1" applyAlignment="1">
      <alignment horizontal="center" vertical="center"/>
    </xf>
    <xf numFmtId="167" fontId="8" fillId="0" borderId="0" xfId="0" applyNumberFormat="1" applyFont="1" applyAlignment="1">
      <alignment horizontal="center" vertical="center"/>
    </xf>
    <xf numFmtId="165" fontId="8" fillId="0" borderId="0" xfId="0" applyNumberFormat="1" applyFont="1" applyAlignment="1">
      <alignment horizontal="center" vertical="center"/>
    </xf>
    <xf numFmtId="10" fontId="8" fillId="0" borderId="0" xfId="0" applyNumberFormat="1" applyFont="1" applyAlignment="1">
      <alignment horizontal="center" vertical="center"/>
    </xf>
    <xf numFmtId="4" fontId="16" fillId="0" borderId="0" xfId="0" applyNumberFormat="1" applyFont="1" applyAlignment="1">
      <alignment horizontal="center" vertical="center"/>
    </xf>
    <xf numFmtId="49" fontId="10" fillId="0" borderId="1" xfId="0" applyNumberFormat="1" applyFont="1" applyBorder="1" applyAlignment="1">
      <alignment horizontal="left" vertical="center"/>
    </xf>
    <xf numFmtId="0" fontId="10" fillId="0" borderId="2" xfId="0" applyFont="1" applyBorder="1" applyAlignment="1">
      <alignment vertical="center" wrapText="1"/>
    </xf>
    <xf numFmtId="4" fontId="3" fillId="0" borderId="2" xfId="0" applyNumberFormat="1" applyFont="1" applyBorder="1" applyAlignment="1">
      <alignment vertical="center"/>
    </xf>
    <xf numFmtId="165" fontId="10" fillId="0" borderId="2" xfId="0" applyNumberFormat="1" applyFont="1" applyBorder="1" applyAlignment="1">
      <alignment vertical="center"/>
    </xf>
    <xf numFmtId="0" fontId="3" fillId="0" borderId="2" xfId="0" applyFont="1" applyBorder="1" applyAlignment="1">
      <alignment vertical="center"/>
    </xf>
    <xf numFmtId="0" fontId="10" fillId="0" borderId="0" xfId="0" applyFont="1" applyAlignment="1">
      <alignment vertical="center" wrapText="1"/>
    </xf>
    <xf numFmtId="4" fontId="3" fillId="0" borderId="0" xfId="0" applyNumberFormat="1" applyFont="1" applyAlignment="1">
      <alignment vertical="center"/>
    </xf>
    <xf numFmtId="10" fontId="3" fillId="0" borderId="0" xfId="0" applyNumberFormat="1" applyFont="1" applyAlignment="1">
      <alignment horizontal="left" vertical="center"/>
    </xf>
    <xf numFmtId="165" fontId="10" fillId="0" borderId="0" xfId="0" applyNumberFormat="1" applyFont="1" applyAlignment="1">
      <alignment vertical="center"/>
    </xf>
    <xf numFmtId="0" fontId="3" fillId="0" borderId="5" xfId="0" applyFont="1" applyBorder="1" applyAlignment="1">
      <alignment vertical="center"/>
    </xf>
    <xf numFmtId="4" fontId="10" fillId="0" borderId="0" xfId="0" applyNumberFormat="1" applyFont="1" applyAlignment="1">
      <alignment vertical="center"/>
    </xf>
    <xf numFmtId="49" fontId="3" fillId="0" borderId="4" xfId="0" applyNumberFormat="1" applyFont="1" applyBorder="1" applyAlignment="1">
      <alignment vertical="center"/>
    </xf>
    <xf numFmtId="49" fontId="3" fillId="0" borderId="0" xfId="0" applyNumberFormat="1" applyFont="1" applyAlignment="1">
      <alignment vertical="center"/>
    </xf>
    <xf numFmtId="49" fontId="10" fillId="0" borderId="5" xfId="0" applyNumberFormat="1" applyFont="1" applyBorder="1" applyAlignment="1">
      <alignment vertical="center"/>
    </xf>
    <xf numFmtId="49" fontId="3" fillId="0" borderId="6" xfId="0" applyNumberFormat="1" applyFont="1" applyBorder="1" applyAlignment="1">
      <alignment horizontal="left" vertical="center"/>
    </xf>
    <xf numFmtId="0" fontId="10" fillId="0" borderId="7" xfId="0" applyFont="1" applyBorder="1" applyAlignment="1">
      <alignment vertical="center" wrapText="1"/>
    </xf>
    <xf numFmtId="4" fontId="3" fillId="0" borderId="7" xfId="0" applyNumberFormat="1" applyFont="1" applyBorder="1" applyAlignment="1">
      <alignment vertical="center"/>
    </xf>
    <xf numFmtId="165" fontId="10" fillId="0" borderId="7" xfId="0" applyNumberFormat="1" applyFont="1" applyBorder="1" applyAlignment="1">
      <alignment vertical="center"/>
    </xf>
    <xf numFmtId="0" fontId="3" fillId="0" borderId="7" xfId="0" applyFont="1" applyBorder="1" applyAlignment="1">
      <alignment vertical="center"/>
    </xf>
    <xf numFmtId="49" fontId="3" fillId="0" borderId="8" xfId="0" applyNumberFormat="1" applyFont="1" applyBorder="1" applyAlignment="1">
      <alignment vertical="center"/>
    </xf>
    <xf numFmtId="165" fontId="8" fillId="0" borderId="0" xfId="0" applyNumberFormat="1" applyFont="1" applyAlignment="1">
      <alignment horizontal="center" vertical="center" wrapText="1"/>
    </xf>
    <xf numFmtId="10" fontId="8" fillId="0" borderId="0" xfId="0" applyNumberFormat="1" applyFont="1" applyAlignment="1">
      <alignment horizontal="center" vertical="center" wrapText="1"/>
    </xf>
    <xf numFmtId="4" fontId="16" fillId="0" borderId="0" xfId="0" applyNumberFormat="1" applyFont="1" applyAlignment="1">
      <alignment horizontal="center" vertical="center" wrapText="1"/>
    </xf>
    <xf numFmtId="0" fontId="8" fillId="0" borderId="0" xfId="0" applyFont="1" applyAlignment="1">
      <alignment vertical="center" wrapText="1"/>
    </xf>
    <xf numFmtId="4" fontId="8" fillId="0" borderId="0" xfId="0" applyNumberFormat="1" applyFont="1" applyAlignment="1">
      <alignment vertical="center"/>
    </xf>
    <xf numFmtId="0" fontId="8" fillId="3" borderId="17" xfId="0" applyFont="1" applyFill="1" applyBorder="1" applyAlignment="1">
      <alignment horizontal="center" vertical="center" wrapText="1"/>
    </xf>
    <xf numFmtId="0" fontId="10" fillId="4" borderId="10" xfId="0" applyFont="1" applyFill="1" applyBorder="1" applyAlignment="1">
      <alignment horizontal="right" vertical="center" wrapText="1"/>
    </xf>
    <xf numFmtId="49" fontId="12" fillId="3" borderId="16" xfId="0" applyNumberFormat="1" applyFont="1" applyFill="1" applyBorder="1" applyAlignment="1">
      <alignment horizontal="center" vertical="center" wrapText="1"/>
    </xf>
    <xf numFmtId="0" fontId="12" fillId="3" borderId="16" xfId="0" applyFont="1" applyFill="1" applyBorder="1" applyAlignment="1">
      <alignment horizontal="center" vertical="center" wrapText="1"/>
    </xf>
    <xf numFmtId="4" fontId="8" fillId="3" borderId="16" xfId="0" applyNumberFormat="1" applyFont="1" applyFill="1" applyBorder="1" applyAlignment="1">
      <alignment horizontal="center" vertical="center" wrapText="1"/>
    </xf>
    <xf numFmtId="4" fontId="12" fillId="0" borderId="7" xfId="0" applyNumberFormat="1" applyFont="1" applyBorder="1" applyAlignment="1">
      <alignment horizontal="center" vertical="center" wrapText="1"/>
    </xf>
    <xf numFmtId="167" fontId="12" fillId="3" borderId="16" xfId="0" applyNumberFormat="1" applyFont="1" applyFill="1" applyBorder="1" applyAlignment="1">
      <alignment horizontal="center" vertical="center" wrapText="1"/>
    </xf>
    <xf numFmtId="10" fontId="12" fillId="3" borderId="16" xfId="0" applyNumberFormat="1" applyFont="1" applyFill="1" applyBorder="1" applyAlignment="1">
      <alignment horizontal="center" vertical="center" wrapText="1"/>
    </xf>
    <xf numFmtId="10" fontId="8" fillId="0" borderId="0" xfId="0" applyNumberFormat="1" applyFont="1" applyAlignment="1">
      <alignment vertical="center"/>
    </xf>
    <xf numFmtId="0" fontId="12" fillId="3" borderId="17" xfId="0" applyFont="1" applyFill="1" applyBorder="1" applyAlignment="1">
      <alignment horizontal="center" vertical="center"/>
    </xf>
    <xf numFmtId="4" fontId="12" fillId="0" borderId="0" xfId="0" applyNumberFormat="1" applyFont="1" applyAlignment="1">
      <alignment vertical="center"/>
    </xf>
    <xf numFmtId="167" fontId="8" fillId="3" borderId="17" xfId="0" applyNumberFormat="1" applyFont="1" applyFill="1" applyBorder="1" applyAlignment="1">
      <alignment horizontal="center" vertical="center"/>
    </xf>
    <xf numFmtId="167" fontId="16" fillId="0" borderId="0" xfId="0" applyNumberFormat="1" applyFont="1" applyAlignment="1">
      <alignment horizontal="center" vertical="center"/>
    </xf>
    <xf numFmtId="167" fontId="8" fillId="0" borderId="0" xfId="0" applyNumberFormat="1" applyFont="1" applyAlignment="1">
      <alignment vertical="center"/>
    </xf>
    <xf numFmtId="4" fontId="16" fillId="0" borderId="0" xfId="0" applyNumberFormat="1" applyFont="1" applyAlignment="1">
      <alignment vertical="center"/>
    </xf>
    <xf numFmtId="0" fontId="13" fillId="3" borderId="17" xfId="0" applyFont="1" applyFill="1" applyBorder="1" applyAlignment="1">
      <alignment horizontal="center" vertical="center"/>
    </xf>
    <xf numFmtId="0" fontId="13" fillId="0" borderId="0" xfId="0" applyFont="1" applyAlignment="1">
      <alignment vertical="center"/>
    </xf>
    <xf numFmtId="0" fontId="10" fillId="4" borderId="10" xfId="0" applyFont="1" applyFill="1" applyBorder="1" applyAlignment="1">
      <alignment horizontal="left" vertical="center" wrapText="1"/>
    </xf>
    <xf numFmtId="0" fontId="10" fillId="4" borderId="10" xfId="0" applyFont="1" applyFill="1" applyBorder="1" applyAlignment="1">
      <alignment horizontal="center" vertical="center" wrapText="1"/>
    </xf>
    <xf numFmtId="0" fontId="8" fillId="0" borderId="0" xfId="0" applyFont="1"/>
    <xf numFmtId="0" fontId="8" fillId="0" borderId="1" xfId="0" applyFont="1" applyBorder="1" applyAlignment="1">
      <alignment vertical="center"/>
    </xf>
    <xf numFmtId="0" fontId="15" fillId="0" borderId="2" xfId="0" applyFont="1" applyBorder="1" applyAlignment="1">
      <alignment vertical="center"/>
    </xf>
    <xf numFmtId="0" fontId="15" fillId="0" borderId="3" xfId="0" applyFont="1" applyBorder="1" applyAlignment="1">
      <alignment vertical="center"/>
    </xf>
    <xf numFmtId="0" fontId="15" fillId="0" borderId="4" xfId="0" applyFont="1" applyBorder="1" applyAlignment="1">
      <alignment vertical="center"/>
    </xf>
    <xf numFmtId="0" fontId="15" fillId="0" borderId="0" xfId="0" applyFont="1" applyAlignment="1">
      <alignment vertical="center"/>
    </xf>
    <xf numFmtId="0" fontId="15" fillId="0" borderId="5" xfId="0" applyFont="1" applyBorder="1" applyAlignment="1">
      <alignment vertical="center"/>
    </xf>
    <xf numFmtId="0" fontId="15" fillId="0" borderId="6" xfId="0" applyFont="1" applyBorder="1" applyAlignment="1">
      <alignment vertical="center"/>
    </xf>
    <xf numFmtId="0" fontId="15" fillId="0" borderId="7" xfId="0" applyFont="1" applyBorder="1" applyAlignment="1">
      <alignment vertical="center"/>
    </xf>
    <xf numFmtId="0" fontId="15" fillId="0" borderId="8" xfId="0" applyFont="1" applyBorder="1" applyAlignment="1">
      <alignment vertical="center"/>
    </xf>
    <xf numFmtId="0" fontId="8" fillId="0" borderId="32" xfId="0" applyFont="1" applyBorder="1" applyAlignment="1">
      <alignment horizontal="center" vertical="center"/>
    </xf>
    <xf numFmtId="0" fontId="8" fillId="0" borderId="32" xfId="0" applyFont="1" applyBorder="1" applyAlignment="1">
      <alignment horizontal="left" vertical="center"/>
    </xf>
    <xf numFmtId="0" fontId="8" fillId="0" borderId="33" xfId="0" applyFont="1" applyBorder="1" applyAlignment="1">
      <alignment horizontal="center" vertical="center"/>
    </xf>
    <xf numFmtId="0" fontId="8" fillId="0" borderId="33" xfId="0" applyFont="1" applyBorder="1" applyAlignment="1">
      <alignment horizontal="left" vertical="center"/>
    </xf>
    <xf numFmtId="10" fontId="8" fillId="0" borderId="33" xfId="0" applyNumberFormat="1" applyFont="1" applyBorder="1" applyAlignment="1">
      <alignment horizontal="center" vertical="center"/>
    </xf>
    <xf numFmtId="0" fontId="8" fillId="0" borderId="34" xfId="0" applyFont="1" applyBorder="1" applyAlignment="1">
      <alignment horizontal="center" vertical="center"/>
    </xf>
    <xf numFmtId="0" fontId="8" fillId="0" borderId="34" xfId="0" applyFont="1" applyBorder="1" applyAlignment="1">
      <alignment horizontal="left" vertical="center"/>
    </xf>
    <xf numFmtId="10" fontId="12" fillId="0" borderId="0" xfId="0" applyNumberFormat="1" applyFont="1" applyAlignment="1">
      <alignment horizontal="center" vertical="center"/>
    </xf>
    <xf numFmtId="0" fontId="8" fillId="0" borderId="0" xfId="0" applyFont="1" applyAlignment="1">
      <alignment horizontal="left" vertical="center" wrapText="1"/>
    </xf>
    <xf numFmtId="0" fontId="16" fillId="0" borderId="0" xfId="0" applyFont="1"/>
    <xf numFmtId="0" fontId="8" fillId="0" borderId="0" xfId="0" applyFont="1" applyAlignment="1">
      <alignment vertical="top" wrapText="1"/>
    </xf>
    <xf numFmtId="0" fontId="8" fillId="0" borderId="4" xfId="0" applyFont="1" applyBorder="1" applyAlignment="1">
      <alignment wrapText="1"/>
    </xf>
    <xf numFmtId="0" fontId="8" fillId="0" borderId="0" xfId="0" applyFont="1" applyAlignment="1">
      <alignment wrapText="1"/>
    </xf>
    <xf numFmtId="0" fontId="8" fillId="0" borderId="5" xfId="0" applyFont="1" applyBorder="1" applyAlignment="1">
      <alignment wrapText="1"/>
    </xf>
    <xf numFmtId="0" fontId="12" fillId="5" borderId="10" xfId="0" applyFont="1" applyFill="1" applyBorder="1" applyAlignment="1">
      <alignment horizontal="center" vertical="center"/>
    </xf>
    <xf numFmtId="0" fontId="8" fillId="0" borderId="35" xfId="0" applyFont="1" applyBorder="1" applyAlignment="1">
      <alignment horizontal="center" vertical="center"/>
    </xf>
    <xf numFmtId="10" fontId="8" fillId="0" borderId="35" xfId="0" applyNumberFormat="1" applyFont="1" applyBorder="1" applyAlignment="1">
      <alignment horizontal="center" vertical="center"/>
    </xf>
    <xf numFmtId="0" fontId="8" fillId="0" borderId="36" xfId="0" applyFont="1" applyBorder="1" applyAlignment="1">
      <alignment horizontal="center" vertical="center"/>
    </xf>
    <xf numFmtId="10" fontId="8" fillId="0" borderId="34" xfId="0" applyNumberFormat="1" applyFont="1" applyBorder="1" applyAlignment="1">
      <alignment horizontal="center" vertical="center"/>
    </xf>
    <xf numFmtId="0" fontId="12" fillId="5" borderId="37" xfId="0" applyFont="1" applyFill="1" applyBorder="1" applyAlignment="1">
      <alignment horizontal="center" vertical="center"/>
    </xf>
    <xf numFmtId="10" fontId="12" fillId="5" borderId="10" xfId="0" applyNumberFormat="1" applyFont="1" applyFill="1" applyBorder="1" applyAlignment="1">
      <alignment horizontal="center" vertical="center"/>
    </xf>
    <xf numFmtId="0" fontId="12" fillId="5" borderId="38" xfId="0" applyFont="1" applyFill="1" applyBorder="1" applyAlignment="1">
      <alignment horizontal="center" vertical="center"/>
    </xf>
    <xf numFmtId="10" fontId="12" fillId="5" borderId="38" xfId="0" applyNumberFormat="1" applyFont="1" applyFill="1" applyBorder="1" applyAlignment="1">
      <alignment horizontal="center" vertical="center"/>
    </xf>
    <xf numFmtId="0" fontId="12" fillId="0" borderId="0" xfId="0" applyFont="1" applyAlignment="1">
      <alignment horizontal="left" vertical="center" wrapText="1"/>
    </xf>
    <xf numFmtId="0" fontId="8" fillId="0" borderId="0" xfId="0" applyFont="1" applyAlignment="1">
      <alignment horizontal="center" vertical="top" wrapText="1"/>
    </xf>
    <xf numFmtId="0" fontId="20" fillId="7" borderId="20" xfId="0" applyFont="1" applyFill="1" applyBorder="1" applyAlignment="1">
      <alignment horizontal="left" vertical="top" wrapText="1"/>
    </xf>
    <xf numFmtId="0" fontId="20" fillId="7" borderId="20" xfId="0" applyFont="1" applyFill="1" applyBorder="1" applyAlignment="1">
      <alignment horizontal="right" vertical="top" wrapText="1"/>
    </xf>
    <xf numFmtId="0" fontId="20" fillId="7" borderId="20" xfId="0" applyFont="1" applyFill="1" applyBorder="1" applyAlignment="1">
      <alignment horizontal="center" vertical="top" wrapText="1"/>
    </xf>
    <xf numFmtId="4" fontId="20" fillId="7" borderId="20" xfId="0" applyNumberFormat="1" applyFont="1" applyFill="1" applyBorder="1" applyAlignment="1">
      <alignment horizontal="right" vertical="top" wrapText="1"/>
    </xf>
    <xf numFmtId="0" fontId="23" fillId="8" borderId="20" xfId="0" applyFont="1" applyFill="1" applyBorder="1" applyAlignment="1">
      <alignment horizontal="left" vertical="top" wrapText="1"/>
    </xf>
    <xf numFmtId="0" fontId="23" fillId="8" borderId="20" xfId="0" applyFont="1" applyFill="1" applyBorder="1" applyAlignment="1">
      <alignment horizontal="right" vertical="top" wrapText="1"/>
    </xf>
    <xf numFmtId="0" fontId="23" fillId="8" borderId="20" xfId="0" applyFont="1" applyFill="1" applyBorder="1" applyAlignment="1">
      <alignment horizontal="center" vertical="top" wrapText="1"/>
    </xf>
    <xf numFmtId="0" fontId="22" fillId="9" borderId="20" xfId="0" applyFont="1" applyFill="1" applyBorder="1" applyAlignment="1">
      <alignment horizontal="left" vertical="top" wrapText="1"/>
    </xf>
    <xf numFmtId="0" fontId="22" fillId="9" borderId="20" xfId="0" applyFont="1" applyFill="1" applyBorder="1" applyAlignment="1">
      <alignment horizontal="right" vertical="top" wrapText="1"/>
    </xf>
    <xf numFmtId="0" fontId="22" fillId="9" borderId="20" xfId="0" applyFont="1" applyFill="1" applyBorder="1" applyAlignment="1">
      <alignment horizontal="center" vertical="top" wrapText="1"/>
    </xf>
    <xf numFmtId="169" fontId="22" fillId="9" borderId="20" xfId="0" applyNumberFormat="1" applyFont="1" applyFill="1" applyBorder="1" applyAlignment="1">
      <alignment horizontal="right" vertical="top" wrapText="1"/>
    </xf>
    <xf numFmtId="4" fontId="22" fillId="9" borderId="20" xfId="0" applyNumberFormat="1" applyFont="1" applyFill="1" applyBorder="1" applyAlignment="1">
      <alignment horizontal="right" vertical="top" wrapText="1"/>
    </xf>
    <xf numFmtId="0" fontId="22" fillId="8" borderId="0" xfId="0" applyFont="1" applyFill="1" applyAlignment="1">
      <alignment horizontal="right" vertical="top" wrapText="1"/>
    </xf>
    <xf numFmtId="4" fontId="22" fillId="8" borderId="0" xfId="0" applyNumberFormat="1" applyFont="1" applyFill="1" applyAlignment="1">
      <alignment horizontal="right" vertical="top" wrapText="1"/>
    </xf>
    <xf numFmtId="0" fontId="20" fillId="7" borderId="30" xfId="0" applyFont="1" applyFill="1" applyBorder="1" applyAlignment="1">
      <alignment horizontal="left" vertical="top" wrapText="1"/>
    </xf>
    <xf numFmtId="0" fontId="22" fillId="10" borderId="20" xfId="0" applyFont="1" applyFill="1" applyBorder="1" applyAlignment="1">
      <alignment horizontal="left" vertical="top" wrapText="1"/>
    </xf>
    <xf numFmtId="0" fontId="22" fillId="10" borderId="20" xfId="0" applyFont="1" applyFill="1" applyBorder="1" applyAlignment="1">
      <alignment horizontal="right" vertical="top" wrapText="1"/>
    </xf>
    <xf numFmtId="0" fontId="22" fillId="10" borderId="20" xfId="0" applyFont="1" applyFill="1" applyBorder="1" applyAlignment="1">
      <alignment horizontal="center" vertical="top" wrapText="1"/>
    </xf>
    <xf numFmtId="169" fontId="22" fillId="10" borderId="20" xfId="0" applyNumberFormat="1" applyFont="1" applyFill="1" applyBorder="1" applyAlignment="1">
      <alignment horizontal="right" vertical="top" wrapText="1"/>
    </xf>
    <xf numFmtId="4" fontId="22" fillId="10" borderId="20" xfId="0" applyNumberFormat="1" applyFont="1" applyFill="1" applyBorder="1" applyAlignment="1">
      <alignment horizontal="right" vertical="top" wrapText="1"/>
    </xf>
    <xf numFmtId="0" fontId="10" fillId="0" borderId="22" xfId="0" applyFont="1" applyBorder="1" applyAlignment="1">
      <alignment vertical="center"/>
    </xf>
    <xf numFmtId="0" fontId="10" fillId="0" borderId="28" xfId="0" applyFont="1" applyBorder="1" applyAlignment="1">
      <alignment vertical="center"/>
    </xf>
    <xf numFmtId="43" fontId="8" fillId="0" borderId="0" xfId="1" applyFont="1" applyAlignment="1">
      <alignment horizontal="center" vertical="center"/>
    </xf>
    <xf numFmtId="43" fontId="10" fillId="0" borderId="2" xfId="1" applyFont="1" applyBorder="1" applyAlignment="1">
      <alignment vertical="center"/>
    </xf>
    <xf numFmtId="43" fontId="3" fillId="0" borderId="0" xfId="1" applyFont="1" applyAlignment="1">
      <alignment vertical="center"/>
    </xf>
    <xf numFmtId="43" fontId="10" fillId="0" borderId="0" xfId="1" applyFont="1" applyAlignment="1">
      <alignment vertical="center"/>
    </xf>
    <xf numFmtId="43" fontId="10" fillId="0" borderId="7" xfId="1" applyFont="1" applyBorder="1" applyAlignment="1">
      <alignment vertical="center"/>
    </xf>
    <xf numFmtId="43" fontId="8" fillId="0" borderId="0" xfId="1" applyFont="1" applyAlignment="1">
      <alignment vertical="center"/>
    </xf>
    <xf numFmtId="43" fontId="12" fillId="3" borderId="16" xfId="1" applyFont="1" applyFill="1" applyBorder="1" applyAlignment="1">
      <alignment horizontal="center" vertical="center" wrapText="1"/>
    </xf>
    <xf numFmtId="0" fontId="12" fillId="3" borderId="28" xfId="0" applyFont="1" applyFill="1" applyBorder="1" applyAlignment="1">
      <alignment horizontal="center" vertical="center" wrapText="1"/>
    </xf>
    <xf numFmtId="0" fontId="21" fillId="8" borderId="0" xfId="0" applyFont="1" applyFill="1" applyAlignment="1">
      <alignment vertical="top" wrapText="1"/>
    </xf>
    <xf numFmtId="0" fontId="0" fillId="0" borderId="0" xfId="0" applyAlignment="1">
      <alignment vertical="center"/>
    </xf>
    <xf numFmtId="43" fontId="0" fillId="0" borderId="0" xfId="1" applyFont="1" applyAlignment="1">
      <alignment vertical="center"/>
    </xf>
    <xf numFmtId="0" fontId="8" fillId="0" borderId="28" xfId="0" applyFont="1" applyBorder="1" applyAlignment="1">
      <alignment horizontal="center" vertical="center"/>
    </xf>
    <xf numFmtId="4" fontId="3" fillId="0" borderId="0" xfId="0" applyNumberFormat="1" applyFont="1"/>
    <xf numFmtId="10" fontId="8" fillId="0" borderId="32" xfId="0" applyNumberFormat="1" applyFont="1" applyBorder="1" applyAlignment="1">
      <alignment horizontal="center" vertical="center"/>
    </xf>
    <xf numFmtId="49" fontId="14" fillId="0" borderId="11" xfId="0" applyNumberFormat="1" applyFont="1" applyBorder="1" applyAlignment="1">
      <alignment vertical="center"/>
    </xf>
    <xf numFmtId="44" fontId="8" fillId="0" borderId="0" xfId="0" applyNumberFormat="1" applyFont="1" applyAlignment="1">
      <alignment vertical="center"/>
    </xf>
    <xf numFmtId="0" fontId="3" fillId="0" borderId="25" xfId="3" applyFont="1"/>
    <xf numFmtId="49" fontId="3" fillId="0" borderId="25" xfId="3" applyNumberFormat="1" applyFont="1"/>
    <xf numFmtId="0" fontId="2" fillId="0" borderId="25" xfId="3"/>
    <xf numFmtId="0" fontId="5" fillId="0" borderId="25" xfId="3" applyFont="1" applyAlignment="1">
      <alignment vertical="center"/>
    </xf>
    <xf numFmtId="165" fontId="5" fillId="0" borderId="25" xfId="3" applyNumberFormat="1" applyFont="1" applyAlignment="1">
      <alignment vertical="center"/>
    </xf>
    <xf numFmtId="0" fontId="3" fillId="0" borderId="25" xfId="3" applyFont="1" applyAlignment="1">
      <alignment vertical="center"/>
    </xf>
    <xf numFmtId="0" fontId="8" fillId="0" borderId="25" xfId="3" applyFont="1" applyAlignment="1">
      <alignment vertical="center"/>
    </xf>
    <xf numFmtId="0" fontId="8" fillId="0" borderId="25" xfId="3" applyFont="1" applyAlignment="1">
      <alignment horizontal="center" vertical="center"/>
    </xf>
    <xf numFmtId="165" fontId="8" fillId="0" borderId="25" xfId="3" applyNumberFormat="1" applyFont="1" applyAlignment="1">
      <alignment vertical="center"/>
    </xf>
    <xf numFmtId="0" fontId="10" fillId="0" borderId="21" xfId="3" applyFont="1" applyBorder="1" applyAlignment="1">
      <alignment horizontal="left" vertical="center"/>
    </xf>
    <xf numFmtId="0" fontId="10" fillId="0" borderId="22" xfId="3" applyFont="1" applyBorder="1" applyAlignment="1">
      <alignment horizontal="left" vertical="center"/>
    </xf>
    <xf numFmtId="0" fontId="3" fillId="0" borderId="22" xfId="3" applyFont="1" applyBorder="1" applyAlignment="1">
      <alignment horizontal="center" vertical="center"/>
    </xf>
    <xf numFmtId="49" fontId="3" fillId="0" borderId="24" xfId="3" applyNumberFormat="1" applyFont="1" applyBorder="1" applyAlignment="1">
      <alignment horizontal="left" vertical="center"/>
    </xf>
    <xf numFmtId="49" fontId="3" fillId="0" borderId="25" xfId="3" applyNumberFormat="1" applyFont="1" applyAlignment="1">
      <alignment horizontal="left" vertical="center"/>
    </xf>
    <xf numFmtId="0" fontId="3" fillId="0" borderId="25" xfId="3" applyFont="1" applyAlignment="1">
      <alignment horizontal="center" vertical="center"/>
    </xf>
    <xf numFmtId="10" fontId="3" fillId="0" borderId="25" xfId="3" applyNumberFormat="1" applyFont="1" applyAlignment="1">
      <alignment horizontal="left" vertical="center" wrapText="1"/>
    </xf>
    <xf numFmtId="49" fontId="3" fillId="0" borderId="26" xfId="3" applyNumberFormat="1" applyFont="1" applyBorder="1" applyAlignment="1">
      <alignment horizontal="left" vertical="center"/>
    </xf>
    <xf numFmtId="0" fontId="3" fillId="0" borderId="24" xfId="3" applyFont="1" applyBorder="1" applyAlignment="1">
      <alignment vertical="center"/>
    </xf>
    <xf numFmtId="0" fontId="10" fillId="0" borderId="24" xfId="3" applyFont="1" applyBorder="1" applyAlignment="1">
      <alignment horizontal="left" vertical="center"/>
    </xf>
    <xf numFmtId="0" fontId="10" fillId="0" borderId="25" xfId="3" applyFont="1" applyAlignment="1">
      <alignment horizontal="left" vertical="center"/>
    </xf>
    <xf numFmtId="49" fontId="10" fillId="0" borderId="26" xfId="3" applyNumberFormat="1" applyFont="1" applyBorder="1" applyAlignment="1">
      <alignment horizontal="left" vertical="center"/>
    </xf>
    <xf numFmtId="0" fontId="3" fillId="0" borderId="28" xfId="3" applyFont="1" applyBorder="1"/>
    <xf numFmtId="0" fontId="3" fillId="0" borderId="29" xfId="3" applyFont="1" applyBorder="1" applyAlignment="1">
      <alignment vertical="center"/>
    </xf>
    <xf numFmtId="0" fontId="28" fillId="0" borderId="24" xfId="3" applyFont="1" applyBorder="1" applyAlignment="1">
      <alignment horizontal="center" vertical="center"/>
    </xf>
    <xf numFmtId="0" fontId="3" fillId="0" borderId="26" xfId="3" applyFont="1" applyBorder="1"/>
    <xf numFmtId="0" fontId="13" fillId="0" borderId="25" xfId="3" applyFont="1" applyAlignment="1">
      <alignment vertical="center"/>
    </xf>
    <xf numFmtId="0" fontId="29" fillId="2" borderId="38" xfId="3" applyFont="1" applyFill="1" applyBorder="1" applyAlignment="1">
      <alignment horizontal="center" vertical="center" wrapText="1"/>
    </xf>
    <xf numFmtId="49" fontId="30" fillId="2" borderId="38" xfId="3" applyNumberFormat="1" applyFont="1" applyFill="1" applyBorder="1" applyAlignment="1">
      <alignment horizontal="center" vertical="center" wrapText="1"/>
    </xf>
    <xf numFmtId="0" fontId="4" fillId="0" borderId="25" xfId="3" applyFont="1" applyAlignment="1">
      <alignment horizontal="left" vertical="center"/>
    </xf>
    <xf numFmtId="0" fontId="13" fillId="0" borderId="25" xfId="3" applyFont="1" applyAlignment="1">
      <alignment horizontal="left" vertical="center"/>
    </xf>
    <xf numFmtId="0" fontId="13" fillId="0" borderId="10" xfId="3" applyFont="1" applyBorder="1" applyAlignment="1">
      <alignment horizontal="center" vertical="center"/>
    </xf>
    <xf numFmtId="49" fontId="13" fillId="0" borderId="10" xfId="3" applyNumberFormat="1" applyFont="1" applyBorder="1" applyAlignment="1">
      <alignment horizontal="center" vertical="center" wrapText="1"/>
    </xf>
    <xf numFmtId="0" fontId="10" fillId="0" borderId="23" xfId="3" applyFont="1" applyBorder="1" applyAlignment="1">
      <alignment horizontal="left" vertical="center"/>
    </xf>
    <xf numFmtId="0" fontId="3" fillId="0" borderId="26" xfId="3" applyFont="1" applyBorder="1" applyAlignment="1">
      <alignment horizontal="left" vertical="center"/>
    </xf>
    <xf numFmtId="169" fontId="20" fillId="7" borderId="20" xfId="0" applyNumberFormat="1" applyFont="1" applyFill="1" applyBorder="1" applyAlignment="1">
      <alignment horizontal="right" vertical="top" wrapText="1"/>
    </xf>
    <xf numFmtId="49" fontId="12" fillId="0" borderId="1" xfId="0" applyNumberFormat="1" applyFont="1" applyBorder="1" applyAlignment="1">
      <alignment vertical="center"/>
    </xf>
    <xf numFmtId="17" fontId="3" fillId="0" borderId="0" xfId="0" applyNumberFormat="1" applyFont="1"/>
    <xf numFmtId="0" fontId="3" fillId="0" borderId="25" xfId="0" applyFont="1" applyBorder="1"/>
    <xf numFmtId="44" fontId="3" fillId="0" borderId="0" xfId="0" applyNumberFormat="1" applyFont="1"/>
    <xf numFmtId="43" fontId="8" fillId="3" borderId="17" xfId="0" applyNumberFormat="1" applyFont="1" applyFill="1" applyBorder="1" applyAlignment="1">
      <alignment horizontal="center" vertical="center"/>
    </xf>
    <xf numFmtId="43" fontId="12" fillId="3" borderId="17" xfId="0" applyNumberFormat="1" applyFont="1" applyFill="1" applyBorder="1" applyAlignment="1">
      <alignment horizontal="center" vertical="center"/>
    </xf>
    <xf numFmtId="44" fontId="33" fillId="0" borderId="0" xfId="0" applyNumberFormat="1" applyFont="1" applyAlignment="1">
      <alignment vertical="center"/>
    </xf>
    <xf numFmtId="0" fontId="25" fillId="6" borderId="20" xfId="0" applyFont="1" applyFill="1" applyBorder="1" applyAlignment="1">
      <alignment horizontal="left" vertical="top" wrapText="1"/>
    </xf>
    <xf numFmtId="0" fontId="25" fillId="6" borderId="20" xfId="0" applyFont="1" applyFill="1" applyBorder="1" applyAlignment="1">
      <alignment horizontal="right" vertical="top" wrapText="1"/>
    </xf>
    <xf numFmtId="4" fontId="25" fillId="6" borderId="20" xfId="0" applyNumberFormat="1" applyFont="1" applyFill="1" applyBorder="1" applyAlignment="1">
      <alignment horizontal="right" vertical="top" wrapText="1"/>
    </xf>
    <xf numFmtId="168" fontId="25" fillId="6" borderId="20" xfId="0" applyNumberFormat="1" applyFont="1" applyFill="1" applyBorder="1" applyAlignment="1">
      <alignment horizontal="right" vertical="top" wrapText="1"/>
    </xf>
    <xf numFmtId="0" fontId="26" fillId="7" borderId="20" xfId="0" applyFont="1" applyFill="1" applyBorder="1" applyAlignment="1">
      <alignment horizontal="left" vertical="top" wrapText="1"/>
    </xf>
    <xf numFmtId="0" fontId="26" fillId="7" borderId="20" xfId="0" applyFont="1" applyFill="1" applyBorder="1" applyAlignment="1">
      <alignment horizontal="right" vertical="top" wrapText="1"/>
    </xf>
    <xf numFmtId="0" fontId="26" fillId="7" borderId="20" xfId="0" applyFont="1" applyFill="1" applyBorder="1" applyAlignment="1">
      <alignment horizontal="center" vertical="top" wrapText="1"/>
    </xf>
    <xf numFmtId="4" fontId="26" fillId="7" borderId="20" xfId="0" applyNumberFormat="1" applyFont="1" applyFill="1" applyBorder="1" applyAlignment="1">
      <alignment horizontal="right" vertical="top" wrapText="1"/>
    </xf>
    <xf numFmtId="168" fontId="26" fillId="7" borderId="20" xfId="0" applyNumberFormat="1" applyFont="1" applyFill="1" applyBorder="1" applyAlignment="1">
      <alignment horizontal="right" vertical="top" wrapText="1"/>
    </xf>
    <xf numFmtId="0" fontId="23" fillId="8" borderId="0" xfId="0" applyFont="1" applyFill="1" applyAlignment="1">
      <alignment horizontal="right" vertical="top" wrapText="1"/>
    </xf>
    <xf numFmtId="0" fontId="27" fillId="8" borderId="0" xfId="0" applyFont="1" applyFill="1" applyAlignment="1">
      <alignment horizontal="center" vertical="top" wrapText="1"/>
    </xf>
    <xf numFmtId="0" fontId="27" fillId="8" borderId="0" xfId="0" applyFont="1" applyFill="1" applyAlignment="1">
      <alignment horizontal="left" vertical="top" wrapText="1"/>
    </xf>
    <xf numFmtId="49" fontId="34" fillId="0" borderId="10" xfId="0" applyNumberFormat="1" applyFont="1" applyBorder="1" applyAlignment="1">
      <alignment horizontal="center" vertical="center" wrapText="1"/>
    </xf>
    <xf numFmtId="0" fontId="13" fillId="0" borderId="10" xfId="3" applyFont="1" applyBorder="1" applyAlignment="1">
      <alignment horizontal="center" vertical="center" wrapText="1"/>
    </xf>
    <xf numFmtId="0" fontId="34" fillId="0" borderId="10" xfId="0" applyFont="1" applyBorder="1" applyAlignment="1">
      <alignment horizontal="center" vertical="center" wrapText="1"/>
    </xf>
    <xf numFmtId="43" fontId="25" fillId="6" borderId="20" xfId="1" applyFont="1" applyFill="1" applyBorder="1" applyAlignment="1">
      <alignment horizontal="right" vertical="top" wrapText="1"/>
    </xf>
    <xf numFmtId="43" fontId="26" fillId="7" borderId="20" xfId="1" applyFont="1" applyFill="1" applyBorder="1" applyAlignment="1">
      <alignment horizontal="right" vertical="top" wrapText="1"/>
    </xf>
    <xf numFmtId="43" fontId="23" fillId="8" borderId="0" xfId="1" applyFont="1" applyFill="1" applyAlignment="1">
      <alignment horizontal="right" vertical="top" wrapText="1"/>
    </xf>
    <xf numFmtId="43" fontId="27" fillId="8" borderId="0" xfId="1" applyFont="1" applyFill="1" applyAlignment="1">
      <alignment horizontal="center" vertical="top" wrapText="1"/>
    </xf>
    <xf numFmtId="0" fontId="7" fillId="0" borderId="4" xfId="0" applyFont="1" applyBorder="1" applyAlignment="1">
      <alignment vertical="center"/>
    </xf>
    <xf numFmtId="0" fontId="7" fillId="0" borderId="13" xfId="0" applyFont="1" applyBorder="1"/>
    <xf numFmtId="49" fontId="12" fillId="3" borderId="28" xfId="0" applyNumberFormat="1" applyFont="1" applyFill="1" applyBorder="1" applyAlignment="1">
      <alignment horizontal="center" vertical="center" wrapText="1"/>
    </xf>
    <xf numFmtId="4" fontId="12" fillId="0" borderId="28" xfId="0" applyNumberFormat="1" applyFont="1" applyBorder="1" applyAlignment="1">
      <alignment horizontal="center" vertical="center" wrapText="1"/>
    </xf>
    <xf numFmtId="165" fontId="12" fillId="3" borderId="28" xfId="0" applyNumberFormat="1" applyFont="1" applyFill="1" applyBorder="1" applyAlignment="1">
      <alignment horizontal="center" vertical="center" wrapText="1"/>
    </xf>
    <xf numFmtId="167" fontId="12" fillId="3" borderId="28" xfId="0" applyNumberFormat="1" applyFont="1" applyFill="1" applyBorder="1" applyAlignment="1">
      <alignment horizontal="center" vertical="center" wrapText="1"/>
    </xf>
    <xf numFmtId="0" fontId="25" fillId="11" borderId="20" xfId="0" applyFont="1" applyFill="1" applyBorder="1" applyAlignment="1">
      <alignment horizontal="right" vertical="top" wrapText="1"/>
    </xf>
    <xf numFmtId="4" fontId="26" fillId="11" borderId="20" xfId="0" applyNumberFormat="1" applyFont="1" applyFill="1" applyBorder="1" applyAlignment="1">
      <alignment horizontal="right" vertical="top" wrapText="1"/>
    </xf>
    <xf numFmtId="0" fontId="12" fillId="13" borderId="28" xfId="0" applyFont="1" applyFill="1" applyBorder="1" applyAlignment="1">
      <alignment horizontal="center" vertical="center" wrapText="1"/>
    </xf>
    <xf numFmtId="0" fontId="10" fillId="12" borderId="10" xfId="0" applyFont="1" applyFill="1" applyBorder="1" applyAlignment="1">
      <alignment horizontal="right" vertical="center" wrapText="1"/>
    </xf>
    <xf numFmtId="167" fontId="12" fillId="13" borderId="28" xfId="0" applyNumberFormat="1" applyFont="1" applyFill="1" applyBorder="1" applyAlignment="1">
      <alignment horizontal="center" vertical="center" wrapText="1"/>
    </xf>
    <xf numFmtId="0" fontId="25" fillId="14" borderId="20" xfId="0" applyFont="1" applyFill="1" applyBorder="1" applyAlignment="1">
      <alignment horizontal="left" vertical="top" wrapText="1"/>
    </xf>
    <xf numFmtId="4" fontId="26" fillId="14" borderId="20" xfId="0" applyNumberFormat="1" applyFont="1" applyFill="1" applyBorder="1" applyAlignment="1">
      <alignment horizontal="right" vertical="top" wrapText="1"/>
    </xf>
    <xf numFmtId="0" fontId="26" fillId="11" borderId="20" xfId="0" applyFont="1" applyFill="1" applyBorder="1" applyAlignment="1">
      <alignment horizontal="left" vertical="top" wrapText="1"/>
    </xf>
    <xf numFmtId="4" fontId="38" fillId="7" borderId="20" xfId="0" applyNumberFormat="1" applyFont="1" applyFill="1" applyBorder="1" applyAlignment="1">
      <alignment horizontal="right" vertical="top" wrapText="1"/>
    </xf>
    <xf numFmtId="0" fontId="35" fillId="0" borderId="0" xfId="5"/>
    <xf numFmtId="0" fontId="40" fillId="15" borderId="45" xfId="7" applyFont="1" applyFill="1" applyBorder="1" applyAlignment="1">
      <alignment vertical="top"/>
    </xf>
    <xf numFmtId="0" fontId="41" fillId="15" borderId="46" xfId="7" applyFont="1" applyFill="1" applyBorder="1" applyAlignment="1">
      <alignment vertical="top"/>
    </xf>
    <xf numFmtId="0" fontId="40" fillId="15" borderId="25" xfId="7" applyFont="1" applyFill="1" applyAlignment="1">
      <alignment vertical="top"/>
    </xf>
    <xf numFmtId="0" fontId="40" fillId="15" borderId="48" xfId="7" applyFont="1" applyFill="1" applyBorder="1" applyAlignment="1">
      <alignment vertical="top"/>
    </xf>
    <xf numFmtId="0" fontId="41" fillId="15" borderId="25" xfId="7" applyFont="1" applyFill="1" applyAlignment="1">
      <alignment vertical="top"/>
    </xf>
    <xf numFmtId="0" fontId="41" fillId="15" borderId="25" xfId="7" applyFont="1" applyFill="1" applyAlignment="1">
      <alignment horizontal="right" vertical="top"/>
    </xf>
    <xf numFmtId="0" fontId="41" fillId="15" borderId="49" xfId="7" applyFont="1" applyFill="1" applyBorder="1" applyAlignment="1">
      <alignment horizontal="right" vertical="top"/>
    </xf>
    <xf numFmtId="0" fontId="41" fillId="15" borderId="48" xfId="7" applyFont="1" applyFill="1" applyBorder="1" applyAlignment="1">
      <alignment horizontal="right" vertical="top"/>
    </xf>
    <xf numFmtId="0" fontId="40" fillId="15" borderId="50" xfId="7" applyFont="1" applyFill="1" applyBorder="1" applyAlignment="1">
      <alignment horizontal="center" vertical="top"/>
    </xf>
    <xf numFmtId="0" fontId="40" fillId="15" borderId="51" xfId="7" applyFont="1" applyFill="1" applyBorder="1" applyAlignment="1">
      <alignment horizontal="center" vertical="top"/>
    </xf>
    <xf numFmtId="0" fontId="40" fillId="15" borderId="52" xfId="7" applyFont="1" applyFill="1" applyBorder="1" applyAlignment="1">
      <alignment horizontal="center" vertical="top"/>
    </xf>
    <xf numFmtId="0" fontId="40" fillId="15" borderId="53" xfId="7" applyFont="1" applyFill="1" applyBorder="1" applyAlignment="1">
      <alignment vertical="top"/>
    </xf>
    <xf numFmtId="0" fontId="40" fillId="15" borderId="56" xfId="7" applyFont="1" applyFill="1" applyBorder="1" applyAlignment="1">
      <alignment horizontal="center" vertical="top"/>
    </xf>
    <xf numFmtId="0" fontId="40" fillId="15" borderId="50" xfId="7" applyFont="1" applyFill="1" applyBorder="1" applyAlignment="1">
      <alignment vertical="top"/>
    </xf>
    <xf numFmtId="170" fontId="40" fillId="15" borderId="57" xfId="7" applyNumberFormat="1" applyFont="1" applyFill="1" applyBorder="1" applyAlignment="1">
      <alignment horizontal="center" vertical="top"/>
    </xf>
    <xf numFmtId="0" fontId="40" fillId="15" borderId="49" xfId="7" applyFont="1" applyFill="1" applyBorder="1" applyAlignment="1">
      <alignment vertical="top"/>
    </xf>
    <xf numFmtId="0" fontId="41" fillId="16" borderId="59" xfId="7" applyFont="1" applyFill="1" applyBorder="1" applyAlignment="1">
      <alignment horizontal="center" vertical="top"/>
    </xf>
    <xf numFmtId="44" fontId="40" fillId="15" borderId="62" xfId="8" applyFont="1" applyFill="1" applyBorder="1" applyAlignment="1">
      <alignment vertical="top"/>
    </xf>
    <xf numFmtId="44" fontId="41" fillId="15" borderId="63" xfId="8" applyFont="1" applyFill="1" applyBorder="1" applyAlignment="1">
      <alignment horizontal="center" vertical="top"/>
    </xf>
    <xf numFmtId="44" fontId="40" fillId="15" borderId="25" xfId="7" applyNumberFormat="1" applyFont="1" applyFill="1" applyAlignment="1">
      <alignment vertical="top"/>
    </xf>
    <xf numFmtId="10" fontId="40" fillId="15" borderId="65" xfId="9" applyNumberFormat="1" applyFont="1" applyFill="1" applyBorder="1" applyAlignment="1">
      <alignment horizontal="center" vertical="top"/>
    </xf>
    <xf numFmtId="10" fontId="40" fillId="15" borderId="25" xfId="7" applyNumberFormat="1" applyFont="1" applyFill="1" applyAlignment="1">
      <alignment vertical="top"/>
    </xf>
    <xf numFmtId="44" fontId="40" fillId="15" borderId="59" xfId="8" applyFont="1" applyFill="1" applyBorder="1" applyAlignment="1">
      <alignment vertical="top"/>
    </xf>
    <xf numFmtId="44" fontId="41" fillId="15" borderId="60" xfId="8" applyFont="1" applyFill="1" applyBorder="1" applyAlignment="1">
      <alignment vertical="top"/>
    </xf>
    <xf numFmtId="10" fontId="40" fillId="15" borderId="59" xfId="9" applyNumberFormat="1" applyFont="1" applyFill="1" applyBorder="1" applyAlignment="1">
      <alignment vertical="top"/>
    </xf>
    <xf numFmtId="10" fontId="41" fillId="15" borderId="60" xfId="8" applyNumberFormat="1" applyFont="1" applyFill="1" applyBorder="1" applyAlignment="1">
      <alignment vertical="top"/>
    </xf>
    <xf numFmtId="10" fontId="40" fillId="15" borderId="72" xfId="9" applyNumberFormat="1" applyFont="1" applyFill="1" applyBorder="1" applyAlignment="1">
      <alignment vertical="top"/>
    </xf>
    <xf numFmtId="10" fontId="41" fillId="15" borderId="73" xfId="8" applyNumberFormat="1" applyFont="1" applyFill="1" applyBorder="1" applyAlignment="1">
      <alignment vertical="top"/>
    </xf>
    <xf numFmtId="10" fontId="41" fillId="15" borderId="66" xfId="9" applyNumberFormat="1" applyFont="1" applyFill="1" applyBorder="1" applyAlignment="1">
      <alignment vertical="top"/>
    </xf>
    <xf numFmtId="10" fontId="10" fillId="0" borderId="0" xfId="6" applyNumberFormat="1" applyFont="1" applyAlignment="1">
      <alignment vertical="center"/>
    </xf>
    <xf numFmtId="0" fontId="40" fillId="15" borderId="25" xfId="7" quotePrefix="1" applyFont="1" applyFill="1" applyAlignment="1">
      <alignment vertical="top"/>
    </xf>
    <xf numFmtId="0" fontId="6" fillId="0" borderId="1" xfId="0" applyFont="1" applyBorder="1" applyAlignment="1">
      <alignment horizontal="center" vertical="center"/>
    </xf>
    <xf numFmtId="0" fontId="7" fillId="0" borderId="2" xfId="0" applyFont="1" applyBorder="1"/>
    <xf numFmtId="0" fontId="7" fillId="0" borderId="3" xfId="0" applyFont="1" applyBorder="1"/>
    <xf numFmtId="0" fontId="7" fillId="0" borderId="4" xfId="0" applyFont="1" applyBorder="1"/>
    <xf numFmtId="0" fontId="0" fillId="0" borderId="0" xfId="0"/>
    <xf numFmtId="0" fontId="7" fillId="0" borderId="5" xfId="0" applyFont="1" applyBorder="1"/>
    <xf numFmtId="0" fontId="7" fillId="0" borderId="6" xfId="0" applyFont="1" applyBorder="1"/>
    <xf numFmtId="0" fontId="7" fillId="0" borderId="7" xfId="0" applyFont="1" applyBorder="1"/>
    <xf numFmtId="0" fontId="7" fillId="0" borderId="8" xfId="0" applyFont="1" applyBorder="1"/>
    <xf numFmtId="0" fontId="12" fillId="0" borderId="11" xfId="0" applyFont="1" applyBorder="1" applyAlignment="1">
      <alignment horizontal="left" vertical="center" wrapText="1"/>
    </xf>
    <xf numFmtId="0" fontId="12" fillId="0" borderId="14" xfId="0" applyFont="1" applyBorder="1" applyAlignment="1">
      <alignment horizontal="left" vertical="center" wrapText="1"/>
    </xf>
    <xf numFmtId="0" fontId="12" fillId="0" borderId="13" xfId="0" applyFont="1" applyBorder="1" applyAlignment="1">
      <alignment horizontal="left" vertical="center" wrapText="1"/>
    </xf>
    <xf numFmtId="0" fontId="12" fillId="0" borderId="4" xfId="0" applyFont="1" applyBorder="1" applyAlignment="1">
      <alignment horizontal="center"/>
    </xf>
    <xf numFmtId="49" fontId="12" fillId="0" borderId="4" xfId="0" applyNumberFormat="1" applyFont="1" applyBorder="1" applyAlignment="1">
      <alignment horizontal="center"/>
    </xf>
    <xf numFmtId="49" fontId="8" fillId="0" borderId="4" xfId="0" applyNumberFormat="1" applyFont="1" applyBorder="1" applyAlignment="1">
      <alignment horizontal="center" vertical="top"/>
    </xf>
    <xf numFmtId="0" fontId="15" fillId="2" borderId="11" xfId="0" applyFont="1" applyFill="1" applyBorder="1" applyAlignment="1">
      <alignment horizontal="center" vertical="center"/>
    </xf>
    <xf numFmtId="0" fontId="7" fillId="0" borderId="12" xfId="0" applyFont="1" applyBorder="1"/>
    <xf numFmtId="0" fontId="12" fillId="0" borderId="4" xfId="0" applyFont="1" applyBorder="1" applyAlignment="1">
      <alignment horizontal="center" vertical="center"/>
    </xf>
    <xf numFmtId="49" fontId="12" fillId="0" borderId="4" xfId="0" applyNumberFormat="1" applyFont="1" applyBorder="1" applyAlignment="1">
      <alignment horizontal="center" vertical="center"/>
    </xf>
    <xf numFmtId="49" fontId="8" fillId="0" borderId="4" xfId="0" applyNumberFormat="1" applyFont="1" applyBorder="1" applyAlignment="1">
      <alignment horizontal="center" vertical="center"/>
    </xf>
    <xf numFmtId="0" fontId="3" fillId="0" borderId="24" xfId="0" applyFont="1" applyBorder="1" applyAlignment="1">
      <alignment horizontal="left" vertical="center" wrapText="1"/>
    </xf>
    <xf numFmtId="0" fontId="3" fillId="0" borderId="25" xfId="0" applyFont="1" applyBorder="1" applyAlignment="1">
      <alignment horizontal="left" vertical="center" wrapText="1"/>
    </xf>
    <xf numFmtId="0" fontId="3" fillId="0" borderId="27" xfId="0" applyFont="1" applyBorder="1" applyAlignment="1">
      <alignment horizontal="left" vertical="center" wrapText="1"/>
    </xf>
    <xf numFmtId="0" fontId="3" fillId="0" borderId="28" xfId="0" applyFont="1" applyBorder="1" applyAlignment="1">
      <alignment horizontal="left" vertical="center" wrapText="1"/>
    </xf>
    <xf numFmtId="0" fontId="24" fillId="0" borderId="24" xfId="0" applyFont="1" applyBorder="1" applyAlignment="1">
      <alignment horizontal="left" vertical="center" wrapText="1"/>
    </xf>
    <xf numFmtId="0" fontId="24" fillId="0" borderId="25" xfId="0" applyFont="1" applyBorder="1" applyAlignment="1">
      <alignment horizontal="left" vertical="center" wrapText="1"/>
    </xf>
    <xf numFmtId="0" fontId="24" fillId="0" borderId="26" xfId="0" applyFont="1" applyBorder="1" applyAlignment="1">
      <alignment horizontal="left" vertical="center" wrapText="1"/>
    </xf>
    <xf numFmtId="0" fontId="24" fillId="0" borderId="27" xfId="0" applyFont="1" applyBorder="1" applyAlignment="1">
      <alignment horizontal="left" vertical="center" wrapText="1"/>
    </xf>
    <xf numFmtId="0" fontId="24" fillId="0" borderId="28" xfId="0" applyFont="1" applyBorder="1" applyAlignment="1">
      <alignment horizontal="left" vertical="center" wrapText="1"/>
    </xf>
    <xf numFmtId="0" fontId="24" fillId="0" borderId="29" xfId="0" applyFont="1" applyBorder="1" applyAlignment="1">
      <alignment horizontal="left" vertical="center" wrapText="1"/>
    </xf>
    <xf numFmtId="0" fontId="23" fillId="8" borderId="0" xfId="0" applyFont="1" applyFill="1" applyAlignment="1">
      <alignment horizontal="right" vertical="top" wrapText="1"/>
    </xf>
    <xf numFmtId="0" fontId="23" fillId="8" borderId="0" xfId="0" applyFont="1" applyFill="1" applyAlignment="1">
      <alignment horizontal="left" vertical="top" wrapText="1"/>
    </xf>
    <xf numFmtId="4" fontId="23" fillId="8" borderId="0" xfId="0" applyNumberFormat="1" applyFont="1" applyFill="1" applyAlignment="1">
      <alignment horizontal="right" vertical="top" wrapText="1"/>
    </xf>
    <xf numFmtId="49" fontId="6" fillId="0" borderId="1" xfId="0" applyNumberFormat="1" applyFont="1" applyBorder="1" applyAlignment="1">
      <alignment horizontal="center" vertical="center"/>
    </xf>
    <xf numFmtId="0" fontId="7" fillId="0" borderId="2" xfId="0" applyFont="1" applyBorder="1" applyAlignment="1">
      <alignment vertical="center"/>
    </xf>
    <xf numFmtId="0" fontId="7" fillId="0" borderId="22" xfId="0" applyFont="1" applyBorder="1" applyAlignment="1">
      <alignment vertical="center"/>
    </xf>
    <xf numFmtId="0" fontId="7" fillId="0" borderId="3" xfId="0" applyFont="1" applyBorder="1" applyAlignment="1">
      <alignment vertical="center"/>
    </xf>
    <xf numFmtId="0" fontId="7" fillId="0" borderId="4" xfId="0" applyFont="1" applyBorder="1" applyAlignment="1">
      <alignment vertical="center"/>
    </xf>
    <xf numFmtId="0" fontId="0" fillId="0" borderId="0" xfId="0" applyAlignment="1">
      <alignment vertical="center"/>
    </xf>
    <xf numFmtId="0" fontId="7" fillId="0" borderId="5" xfId="0" applyFont="1" applyBorder="1" applyAlignment="1">
      <alignment vertical="center"/>
    </xf>
    <xf numFmtId="0" fontId="7" fillId="0" borderId="6" xfId="0" applyFont="1" applyBorder="1" applyAlignment="1">
      <alignment vertical="center"/>
    </xf>
    <xf numFmtId="0" fontId="7" fillId="0" borderId="7" xfId="0" applyFont="1" applyBorder="1" applyAlignment="1">
      <alignment vertical="center"/>
    </xf>
    <xf numFmtId="0" fontId="7" fillId="0" borderId="28" xfId="0" applyFont="1" applyBorder="1" applyAlignment="1">
      <alignment vertical="center"/>
    </xf>
    <xf numFmtId="0" fontId="7" fillId="0" borderId="8" xfId="0" applyFont="1" applyBorder="1" applyAlignment="1">
      <alignment vertical="center"/>
    </xf>
    <xf numFmtId="0" fontId="10" fillId="4" borderId="18" xfId="0" applyFont="1" applyFill="1" applyBorder="1" applyAlignment="1">
      <alignment horizontal="left" vertical="center" wrapText="1"/>
    </xf>
    <xf numFmtId="0" fontId="7" fillId="0" borderId="19" xfId="0" applyFont="1" applyBorder="1" applyAlignment="1">
      <alignment vertical="center"/>
    </xf>
    <xf numFmtId="0" fontId="10" fillId="4" borderId="18" xfId="0" applyFont="1" applyFill="1" applyBorder="1" applyAlignment="1">
      <alignment horizontal="right" vertical="center" wrapText="1"/>
    </xf>
    <xf numFmtId="0" fontId="10" fillId="4" borderId="18" xfId="0" applyFont="1" applyFill="1" applyBorder="1" applyAlignment="1">
      <alignment horizontal="center" vertical="center" wrapText="1"/>
    </xf>
    <xf numFmtId="43" fontId="10" fillId="4" borderId="18" xfId="1" applyFont="1" applyFill="1" applyBorder="1" applyAlignment="1">
      <alignment horizontal="right" vertical="center" wrapText="1"/>
    </xf>
    <xf numFmtId="43" fontId="7" fillId="0" borderId="19" xfId="1" applyFont="1" applyBorder="1" applyAlignment="1">
      <alignment vertical="center"/>
    </xf>
    <xf numFmtId="0" fontId="10" fillId="4" borderId="11" xfId="0" applyFont="1" applyFill="1" applyBorder="1" applyAlignment="1">
      <alignment horizontal="center" vertical="center" wrapText="1"/>
    </xf>
    <xf numFmtId="0" fontId="10" fillId="4" borderId="14" xfId="0" applyFont="1" applyFill="1" applyBorder="1" applyAlignment="1">
      <alignment horizontal="center" vertical="center" wrapText="1"/>
    </xf>
    <xf numFmtId="0" fontId="7" fillId="0" borderId="9" xfId="0" applyFont="1" applyBorder="1" applyAlignment="1">
      <alignment vertical="center"/>
    </xf>
    <xf numFmtId="0" fontId="7" fillId="0" borderId="12" xfId="0" applyFont="1" applyBorder="1" applyAlignment="1">
      <alignment vertical="center"/>
    </xf>
    <xf numFmtId="0" fontId="10" fillId="12" borderId="38" xfId="0" applyFont="1" applyFill="1" applyBorder="1" applyAlignment="1">
      <alignment horizontal="center" vertical="center" wrapText="1"/>
    </xf>
    <xf numFmtId="0" fontId="10" fillId="12" borderId="37" xfId="0" applyFont="1" applyFill="1" applyBorder="1" applyAlignment="1">
      <alignment horizontal="center" vertical="center" wrapText="1"/>
    </xf>
    <xf numFmtId="0" fontId="23" fillId="17" borderId="0" xfId="0" applyFont="1" applyFill="1" applyAlignment="1">
      <alignment horizontal="left" vertical="top" wrapText="1"/>
    </xf>
    <xf numFmtId="0" fontId="23" fillId="17" borderId="0" xfId="0" applyFont="1" applyFill="1" applyAlignment="1">
      <alignment horizontal="right" vertical="top" wrapText="1"/>
    </xf>
    <xf numFmtId="4" fontId="23" fillId="17" borderId="0" xfId="0" applyNumberFormat="1" applyFont="1" applyFill="1" applyAlignment="1">
      <alignment horizontal="right" vertical="top" wrapText="1"/>
    </xf>
    <xf numFmtId="0" fontId="22" fillId="10" borderId="20" xfId="0" applyFont="1" applyFill="1" applyBorder="1" applyAlignment="1">
      <alignment horizontal="left" vertical="top" wrapText="1"/>
    </xf>
    <xf numFmtId="0" fontId="22" fillId="8" borderId="0" xfId="0" applyFont="1" applyFill="1" applyAlignment="1">
      <alignment horizontal="right" vertical="top" wrapText="1"/>
    </xf>
    <xf numFmtId="0" fontId="23" fillId="8" borderId="20" xfId="0" applyFont="1" applyFill="1" applyBorder="1" applyAlignment="1">
      <alignment horizontal="left" vertical="top" wrapText="1"/>
    </xf>
    <xf numFmtId="0" fontId="20" fillId="7" borderId="20" xfId="0" applyFont="1" applyFill="1" applyBorder="1" applyAlignment="1">
      <alignment horizontal="left" vertical="top" wrapText="1"/>
    </xf>
    <xf numFmtId="0" fontId="22" fillId="9" borderId="20" xfId="0" applyFont="1" applyFill="1" applyBorder="1" applyAlignment="1">
      <alignment horizontal="left" vertical="top" wrapText="1"/>
    </xf>
    <xf numFmtId="0" fontId="10" fillId="4" borderId="25" xfId="0" applyFont="1" applyFill="1" applyBorder="1" applyAlignment="1">
      <alignment horizontal="center" wrapText="1"/>
    </xf>
    <xf numFmtId="0" fontId="7" fillId="0" borderId="25" xfId="0" applyFont="1" applyBorder="1"/>
    <xf numFmtId="49" fontId="6" fillId="0" borderId="21" xfId="0" applyNumberFormat="1" applyFont="1" applyBorder="1" applyAlignment="1">
      <alignment horizontal="center" vertical="center"/>
    </xf>
    <xf numFmtId="49" fontId="6" fillId="0" borderId="22" xfId="0" applyNumberFormat="1" applyFont="1" applyBorder="1" applyAlignment="1">
      <alignment horizontal="center" vertical="center"/>
    </xf>
    <xf numFmtId="49" fontId="6" fillId="0" borderId="23" xfId="0" applyNumberFormat="1" applyFont="1" applyBorder="1" applyAlignment="1">
      <alignment horizontal="center" vertical="center"/>
    </xf>
    <xf numFmtId="49" fontId="6" fillId="0" borderId="24" xfId="0" applyNumberFormat="1" applyFont="1" applyBorder="1" applyAlignment="1">
      <alignment horizontal="center" vertical="center"/>
    </xf>
    <xf numFmtId="49" fontId="6" fillId="0" borderId="25" xfId="0" applyNumberFormat="1" applyFont="1" applyBorder="1" applyAlignment="1">
      <alignment horizontal="center" vertical="center"/>
    </xf>
    <xf numFmtId="49" fontId="6" fillId="0" borderId="26" xfId="0" applyNumberFormat="1" applyFont="1" applyBorder="1" applyAlignment="1">
      <alignment horizontal="center" vertical="center"/>
    </xf>
    <xf numFmtId="49" fontId="6" fillId="0" borderId="27" xfId="0" applyNumberFormat="1" applyFont="1" applyBorder="1" applyAlignment="1">
      <alignment horizontal="center" vertical="center"/>
    </xf>
    <xf numFmtId="49" fontId="6" fillId="0" borderId="28" xfId="0" applyNumberFormat="1" applyFont="1" applyBorder="1" applyAlignment="1">
      <alignment horizontal="center" vertical="center"/>
    </xf>
    <xf numFmtId="49" fontId="6" fillId="0" borderId="29" xfId="0" applyNumberFormat="1" applyFont="1" applyBorder="1" applyAlignment="1">
      <alignment horizontal="center" vertical="center"/>
    </xf>
    <xf numFmtId="0" fontId="8" fillId="0" borderId="1" xfId="0" applyFont="1" applyBorder="1" applyAlignment="1">
      <alignment horizontal="center" wrapText="1"/>
    </xf>
    <xf numFmtId="49" fontId="8" fillId="0" borderId="4" xfId="0" applyNumberFormat="1" applyFont="1" applyBorder="1" applyAlignment="1">
      <alignment horizontal="center"/>
    </xf>
    <xf numFmtId="0" fontId="15" fillId="2" borderId="31" xfId="0" applyFont="1" applyFill="1" applyBorder="1" applyAlignment="1">
      <alignment horizontal="center" vertical="center"/>
    </xf>
    <xf numFmtId="0" fontId="7" fillId="0" borderId="19" xfId="0" applyFont="1" applyBorder="1"/>
    <xf numFmtId="0" fontId="15" fillId="2" borderId="31" xfId="0" applyFont="1" applyFill="1" applyBorder="1" applyAlignment="1">
      <alignment horizontal="center" vertical="center" wrapText="1"/>
    </xf>
    <xf numFmtId="0" fontId="7" fillId="0" borderId="9" xfId="0" applyFont="1" applyBorder="1"/>
    <xf numFmtId="0" fontId="8" fillId="0" borderId="0" xfId="0" applyFont="1" applyAlignment="1">
      <alignment vertical="center"/>
    </xf>
    <xf numFmtId="0" fontId="8" fillId="0" borderId="0" xfId="0" applyFont="1" applyAlignment="1">
      <alignment horizontal="left" vertical="center" wrapText="1"/>
    </xf>
    <xf numFmtId="0" fontId="8" fillId="0" borderId="41" xfId="0" applyFont="1" applyBorder="1" applyAlignment="1">
      <alignment horizontal="left" vertical="center"/>
    </xf>
    <xf numFmtId="0" fontId="8" fillId="0" borderId="42" xfId="0" applyFont="1" applyBorder="1" applyAlignment="1">
      <alignment horizontal="left" vertical="center"/>
    </xf>
    <xf numFmtId="0" fontId="7" fillId="0" borderId="14" xfId="0" applyFont="1" applyBorder="1"/>
    <xf numFmtId="0" fontId="7" fillId="0" borderId="22" xfId="0" applyFont="1" applyBorder="1"/>
    <xf numFmtId="0" fontId="8" fillId="0" borderId="39" xfId="0" applyFont="1" applyBorder="1" applyAlignment="1">
      <alignment horizontal="left" vertical="center"/>
    </xf>
    <xf numFmtId="0" fontId="8" fillId="0" borderId="40" xfId="0" applyFont="1" applyBorder="1" applyAlignment="1">
      <alignment horizontal="left" vertical="center"/>
    </xf>
    <xf numFmtId="0" fontId="6" fillId="0" borderId="21" xfId="0" applyFont="1" applyBorder="1" applyAlignment="1">
      <alignment horizontal="center" vertical="center"/>
    </xf>
    <xf numFmtId="0" fontId="6" fillId="0" borderId="22" xfId="0" applyFont="1" applyBorder="1" applyAlignment="1">
      <alignment horizontal="center" vertical="center"/>
    </xf>
    <xf numFmtId="0" fontId="6" fillId="0" borderId="23" xfId="0" applyFont="1" applyBorder="1" applyAlignment="1">
      <alignment horizontal="center" vertical="center"/>
    </xf>
    <xf numFmtId="0" fontId="6" fillId="0" borderId="24" xfId="0" applyFont="1" applyBorder="1" applyAlignment="1">
      <alignment horizontal="center" vertical="center"/>
    </xf>
    <xf numFmtId="0" fontId="6" fillId="0" borderId="25" xfId="0" applyFont="1" applyBorder="1" applyAlignment="1">
      <alignment horizontal="center" vertical="center"/>
    </xf>
    <xf numFmtId="0" fontId="6" fillId="0" borderId="26" xfId="0" applyFont="1" applyBorder="1" applyAlignment="1">
      <alignment horizontal="center" vertical="center"/>
    </xf>
    <xf numFmtId="0" fontId="6" fillId="0" borderId="27" xfId="0" applyFont="1" applyBorder="1" applyAlignment="1">
      <alignment horizontal="center" vertical="center"/>
    </xf>
    <xf numFmtId="0" fontId="6" fillId="0" borderId="28" xfId="0" applyFont="1" applyBorder="1" applyAlignment="1">
      <alignment horizontal="center" vertical="center"/>
    </xf>
    <xf numFmtId="0" fontId="6" fillId="0" borderId="29" xfId="0" applyFont="1" applyBorder="1" applyAlignment="1">
      <alignment horizontal="center" vertical="center"/>
    </xf>
    <xf numFmtId="0" fontId="12" fillId="5" borderId="21" xfId="0" applyFont="1" applyFill="1" applyBorder="1" applyAlignment="1">
      <alignment horizontal="center" vertical="center"/>
    </xf>
    <xf numFmtId="0" fontId="12" fillId="5" borderId="23" xfId="0" applyFont="1" applyFill="1" applyBorder="1" applyAlignment="1">
      <alignment horizontal="center" vertical="center"/>
    </xf>
    <xf numFmtId="0" fontId="12" fillId="5" borderId="27" xfId="0" applyFont="1" applyFill="1" applyBorder="1" applyAlignment="1">
      <alignment horizontal="center" vertical="center"/>
    </xf>
    <xf numFmtId="0" fontId="12" fillId="5" borderId="29" xfId="0" applyFont="1" applyFill="1" applyBorder="1" applyAlignment="1">
      <alignment horizontal="center" vertical="center"/>
    </xf>
    <xf numFmtId="0" fontId="12" fillId="5" borderId="18" xfId="0" applyFont="1" applyFill="1" applyBorder="1" applyAlignment="1">
      <alignment horizontal="center" vertical="center"/>
    </xf>
    <xf numFmtId="0" fontId="12" fillId="5" borderId="11" xfId="0" applyFont="1" applyFill="1" applyBorder="1" applyAlignment="1">
      <alignment horizontal="center" vertical="center"/>
    </xf>
    <xf numFmtId="0" fontId="12" fillId="5" borderId="13" xfId="0" applyFont="1" applyFill="1" applyBorder="1" applyAlignment="1">
      <alignment horizontal="center" vertical="center"/>
    </xf>
    <xf numFmtId="0" fontId="15" fillId="2" borderId="14" xfId="0" applyFont="1" applyFill="1" applyBorder="1" applyAlignment="1">
      <alignment horizontal="center" vertical="center"/>
    </xf>
    <xf numFmtId="0" fontId="15" fillId="2" borderId="13" xfId="0" applyFont="1" applyFill="1" applyBorder="1" applyAlignment="1">
      <alignment horizontal="center" vertical="center"/>
    </xf>
    <xf numFmtId="0" fontId="12" fillId="5" borderId="43" xfId="0" applyFont="1" applyFill="1" applyBorder="1" applyAlignment="1">
      <alignment horizontal="center" vertical="center"/>
    </xf>
    <xf numFmtId="0" fontId="12" fillId="5" borderId="44" xfId="0" applyFont="1" applyFill="1" applyBorder="1" applyAlignment="1">
      <alignment horizontal="center" vertical="center"/>
    </xf>
    <xf numFmtId="0" fontId="13" fillId="0" borderId="11" xfId="3" applyFont="1" applyBorder="1" applyAlignment="1">
      <alignment horizontal="left" vertical="center" wrapText="1"/>
    </xf>
    <xf numFmtId="0" fontId="13" fillId="0" borderId="14" xfId="3" applyFont="1" applyBorder="1" applyAlignment="1">
      <alignment horizontal="left" vertical="center" wrapText="1"/>
    </xf>
    <xf numFmtId="0" fontId="13" fillId="0" borderId="13" xfId="3" applyFont="1" applyBorder="1" applyAlignment="1">
      <alignment horizontal="left" vertical="center" wrapText="1"/>
    </xf>
    <xf numFmtId="0" fontId="6" fillId="0" borderId="21" xfId="3" applyFont="1" applyBorder="1" applyAlignment="1">
      <alignment horizontal="center" vertical="center"/>
    </xf>
    <xf numFmtId="0" fontId="6" fillId="0" borderId="22" xfId="3" applyFont="1" applyBorder="1" applyAlignment="1">
      <alignment horizontal="center" vertical="center"/>
    </xf>
    <xf numFmtId="0" fontId="7" fillId="0" borderId="22" xfId="3" applyFont="1" applyBorder="1"/>
    <xf numFmtId="0" fontId="7" fillId="0" borderId="23" xfId="3" applyFont="1" applyBorder="1"/>
    <xf numFmtId="0" fontId="7" fillId="0" borderId="24" xfId="3" applyFont="1" applyBorder="1"/>
    <xf numFmtId="0" fontId="7" fillId="0" borderId="25" xfId="3" applyFont="1"/>
    <xf numFmtId="0" fontId="2" fillId="0" borderId="25" xfId="3"/>
    <xf numFmtId="0" fontId="7" fillId="0" borderId="26" xfId="3" applyFont="1" applyBorder="1"/>
    <xf numFmtId="0" fontId="7" fillId="0" borderId="27" xfId="3" applyFont="1" applyBorder="1"/>
    <xf numFmtId="0" fontId="7" fillId="0" borderId="28" xfId="3" applyFont="1" applyBorder="1"/>
    <xf numFmtId="0" fontId="7" fillId="0" borderId="29" xfId="3" applyFont="1" applyBorder="1"/>
    <xf numFmtId="0" fontId="3" fillId="0" borderId="24" xfId="3" applyFont="1" applyBorder="1" applyAlignment="1">
      <alignment horizontal="left" vertical="center" wrapText="1"/>
    </xf>
    <xf numFmtId="0" fontId="3" fillId="0" borderId="25" xfId="3" applyFont="1" applyAlignment="1">
      <alignment horizontal="left" vertical="center" wrapText="1"/>
    </xf>
    <xf numFmtId="0" fontId="3" fillId="0" borderId="27" xfId="3" applyFont="1" applyBorder="1" applyAlignment="1">
      <alignment horizontal="left" vertical="center" wrapText="1"/>
    </xf>
    <xf numFmtId="0" fontId="3" fillId="0" borderId="28" xfId="3" applyFont="1" applyBorder="1" applyAlignment="1">
      <alignment horizontal="left" vertical="center" wrapText="1"/>
    </xf>
    <xf numFmtId="0" fontId="30" fillId="2" borderId="11" xfId="3" applyFont="1" applyFill="1" applyBorder="1" applyAlignment="1">
      <alignment horizontal="center" vertical="center" wrapText="1"/>
    </xf>
    <xf numFmtId="0" fontId="30" fillId="2" borderId="14" xfId="3" applyFont="1" applyFill="1" applyBorder="1" applyAlignment="1">
      <alignment horizontal="center" vertical="center" wrapText="1"/>
    </xf>
    <xf numFmtId="0" fontId="30" fillId="2" borderId="13" xfId="3" applyFont="1" applyFill="1" applyBorder="1" applyAlignment="1">
      <alignment horizontal="center" vertical="center" wrapText="1"/>
    </xf>
    <xf numFmtId="0" fontId="40" fillId="15" borderId="67" xfId="7" applyFont="1" applyFill="1" applyBorder="1" applyAlignment="1">
      <alignment horizontal="center" vertical="top"/>
    </xf>
    <xf numFmtId="0" fontId="40" fillId="15" borderId="68" xfId="7" applyFont="1" applyFill="1" applyBorder="1" applyAlignment="1">
      <alignment horizontal="center" vertical="top"/>
    </xf>
    <xf numFmtId="0" fontId="40" fillId="15" borderId="61" xfId="7" applyFont="1" applyFill="1" applyBorder="1" applyAlignment="1">
      <alignment horizontal="justify" vertical="top" wrapText="1"/>
    </xf>
    <xf numFmtId="0" fontId="40" fillId="15" borderId="64" xfId="7" applyFont="1" applyFill="1" applyBorder="1" applyAlignment="1">
      <alignment horizontal="justify" vertical="top" wrapText="1"/>
    </xf>
    <xf numFmtId="0" fontId="40" fillId="15" borderId="53" xfId="7" applyFont="1" applyFill="1" applyBorder="1" applyAlignment="1">
      <alignment horizontal="center" vertical="top"/>
    </xf>
    <xf numFmtId="0" fontId="40" fillId="15" borderId="69" xfId="7" applyFont="1" applyFill="1" applyBorder="1" applyAlignment="1">
      <alignment horizontal="center" vertical="top"/>
    </xf>
    <xf numFmtId="0" fontId="40" fillId="15" borderId="70" xfId="7" applyFont="1" applyFill="1" applyBorder="1" applyAlignment="1">
      <alignment horizontal="center" vertical="top"/>
    </xf>
    <xf numFmtId="0" fontId="40" fillId="15" borderId="71" xfId="7" applyFont="1" applyFill="1" applyBorder="1" applyAlignment="1">
      <alignment horizontal="center" vertical="top"/>
    </xf>
    <xf numFmtId="0" fontId="40" fillId="15" borderId="58" xfId="7" applyFont="1" applyFill="1" applyBorder="1" applyAlignment="1">
      <alignment horizontal="center" vertical="top"/>
    </xf>
    <xf numFmtId="0" fontId="40" fillId="15" borderId="59" xfId="7" applyFont="1" applyFill="1" applyBorder="1" applyAlignment="1">
      <alignment horizontal="justify" vertical="top" wrapText="1"/>
    </xf>
    <xf numFmtId="0" fontId="41" fillId="16" borderId="58" xfId="7" applyFont="1" applyFill="1" applyBorder="1" applyAlignment="1">
      <alignment horizontal="center" vertical="top"/>
    </xf>
    <xf numFmtId="0" fontId="41" fillId="16" borderId="59" xfId="7" applyFont="1" applyFill="1" applyBorder="1" applyAlignment="1">
      <alignment horizontal="center" vertical="top"/>
    </xf>
    <xf numFmtId="0" fontId="41" fillId="16" borderId="54" xfId="7" applyFont="1" applyFill="1" applyBorder="1" applyAlignment="1">
      <alignment horizontal="center" vertical="top"/>
    </xf>
    <xf numFmtId="0" fontId="41" fillId="16" borderId="55" xfId="7" applyFont="1" applyFill="1" applyBorder="1" applyAlignment="1">
      <alignment horizontal="center" vertical="top"/>
    </xf>
    <xf numFmtId="0" fontId="41" fillId="16" borderId="60" xfId="7" applyFont="1" applyFill="1" applyBorder="1" applyAlignment="1">
      <alignment horizontal="center" vertical="top"/>
    </xf>
    <xf numFmtId="0" fontId="41" fillId="15" borderId="46" xfId="7" applyFont="1" applyFill="1" applyBorder="1" applyAlignment="1">
      <alignment horizontal="right" vertical="top"/>
    </xf>
    <xf numFmtId="0" fontId="41" fillId="15" borderId="47" xfId="7" applyFont="1" applyFill="1" applyBorder="1" applyAlignment="1">
      <alignment horizontal="right" vertical="top"/>
    </xf>
    <xf numFmtId="0" fontId="41" fillId="15" borderId="25" xfId="7" applyFont="1" applyFill="1" applyAlignment="1">
      <alignment horizontal="right" vertical="top"/>
    </xf>
    <xf numFmtId="0" fontId="41" fillId="15" borderId="49" xfId="7" applyFont="1" applyFill="1" applyBorder="1" applyAlignment="1">
      <alignment horizontal="right" vertical="top"/>
    </xf>
    <xf numFmtId="0" fontId="42" fillId="15" borderId="48" xfId="7" applyFont="1" applyFill="1" applyBorder="1" applyAlignment="1">
      <alignment horizontal="center" vertical="top"/>
    </xf>
    <xf numFmtId="0" fontId="42" fillId="15" borderId="25" xfId="7" applyFont="1" applyFill="1" applyAlignment="1">
      <alignment horizontal="center" vertical="top"/>
    </xf>
    <xf numFmtId="0" fontId="42" fillId="15" borderId="49" xfId="7" applyFont="1" applyFill="1" applyBorder="1" applyAlignment="1">
      <alignment horizontal="center" vertical="top"/>
    </xf>
    <xf numFmtId="49" fontId="40" fillId="15" borderId="54" xfId="7" applyNumberFormat="1" applyFont="1" applyFill="1" applyBorder="1" applyAlignment="1">
      <alignment horizontal="justify" vertical="top" wrapText="1"/>
    </xf>
    <xf numFmtId="0" fontId="40" fillId="15" borderId="55" xfId="7" applyFont="1" applyFill="1" applyBorder="1" applyAlignment="1">
      <alignment horizontal="justify" vertical="top" wrapText="1"/>
    </xf>
    <xf numFmtId="0" fontId="40" fillId="15" borderId="54" xfId="7" applyFont="1" applyFill="1" applyBorder="1" applyAlignment="1">
      <alignment horizontal="justify" vertical="top"/>
    </xf>
    <xf numFmtId="0" fontId="40" fillId="15" borderId="55" xfId="7" applyFont="1" applyFill="1" applyBorder="1" applyAlignment="1">
      <alignment horizontal="justify" vertical="top"/>
    </xf>
  </cellXfs>
  <cellStyles count="10">
    <cellStyle name="Hiperlink" xfId="5" builtinId="8"/>
    <cellStyle name="Moeda 2" xfId="8" xr:uid="{1ADEC3B1-3FA8-40E3-92D7-67B2D770727D}"/>
    <cellStyle name="Normal" xfId="0" builtinId="0"/>
    <cellStyle name="Normal 2" xfId="2" xr:uid="{A6D6DA0A-A2F2-4038-9457-4672DB045A13}"/>
    <cellStyle name="Normal 3" xfId="3" xr:uid="{FEE3E0F6-F4BB-4816-A940-04D7D9F387C3}"/>
    <cellStyle name="Normal 4" xfId="4" xr:uid="{0FBACFE0-196B-40CF-9968-9C9FF2A753F6}"/>
    <cellStyle name="Normal 5" xfId="7" xr:uid="{09D7224B-21AE-4B50-9790-A4A89BDDA047}"/>
    <cellStyle name="Porcentagem" xfId="6" builtinId="5"/>
    <cellStyle name="Porcentagem 2" xfId="9" xr:uid="{9155A880-4183-496A-AA5E-400F4891645A}"/>
    <cellStyle name="Vírgula" xfId="1" builtinId="3"/>
  </cellStyles>
  <dxfs count="21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png"/><Relationship Id="rId1" Type="http://schemas.openxmlformats.org/officeDocument/2006/relationships/image" Target="../media/image4.jpg"/><Relationship Id="rId4" Type="http://schemas.openxmlformats.org/officeDocument/2006/relationships/image" Target="../media/image3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5.png"/><Relationship Id="rId5" Type="http://schemas.openxmlformats.org/officeDocument/2006/relationships/image" Target="../media/image9.png"/><Relationship Id="rId4" Type="http://schemas.openxmlformats.org/officeDocument/2006/relationships/image" Target="../media/image8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png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1028700</xdr:colOff>
      <xdr:row>2</xdr:row>
      <xdr:rowOff>76200</xdr:rowOff>
    </xdr:from>
    <xdr:ext cx="1981200" cy="647700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180975</xdr:colOff>
      <xdr:row>1</xdr:row>
      <xdr:rowOff>104775</xdr:rowOff>
    </xdr:from>
    <xdr:ext cx="1866900" cy="981075"/>
    <xdr:pic>
      <xdr:nvPicPr>
        <xdr:cNvPr id="3" name="image2.png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twoCellAnchor editAs="oneCell">
    <xdr:from>
      <xdr:col>1</xdr:col>
      <xdr:colOff>2299607</xdr:colOff>
      <xdr:row>1</xdr:row>
      <xdr:rowOff>122464</xdr:rowOff>
    </xdr:from>
    <xdr:to>
      <xdr:col>2</xdr:col>
      <xdr:colOff>1984110</xdr:colOff>
      <xdr:row>5</xdr:row>
      <xdr:rowOff>111719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C34B9CB7-D5F7-4965-9DD4-5F7DC411D8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544536" y="312964"/>
          <a:ext cx="2732503" cy="968969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14</xdr:col>
      <xdr:colOff>1085850</xdr:colOff>
      <xdr:row>2</xdr:row>
      <xdr:rowOff>66675</xdr:rowOff>
    </xdr:from>
    <xdr:ext cx="1981200" cy="647700"/>
    <xdr:pic>
      <xdr:nvPicPr>
        <xdr:cNvPr id="2" name="image1.png">
          <a:extLst>
            <a:ext uri="{FF2B5EF4-FFF2-40B4-BE49-F238E27FC236}">
              <a16:creationId xmlns:a16="http://schemas.microsoft.com/office/drawing/2014/main" id="{29A91B9B-5000-4FB7-8DE2-45B9EBAB3F3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9663410" y="539115"/>
          <a:ext cx="1981200" cy="647700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257175</xdr:colOff>
      <xdr:row>1</xdr:row>
      <xdr:rowOff>66675</xdr:rowOff>
    </xdr:from>
    <xdr:ext cx="1866900" cy="981075"/>
    <xdr:pic>
      <xdr:nvPicPr>
        <xdr:cNvPr id="3" name="image2.png">
          <a:extLst>
            <a:ext uri="{FF2B5EF4-FFF2-40B4-BE49-F238E27FC236}">
              <a16:creationId xmlns:a16="http://schemas.microsoft.com/office/drawing/2014/main" id="{9CA41E9E-4CBA-4BAC-9A76-F9BE829D4C63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13435" y="302895"/>
          <a:ext cx="1866900" cy="981075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4</xdr:col>
      <xdr:colOff>1836966</xdr:colOff>
      <xdr:row>1</xdr:row>
      <xdr:rowOff>34704</xdr:rowOff>
    </xdr:from>
    <xdr:to>
      <xdr:col>4</xdr:col>
      <xdr:colOff>4565659</xdr:colOff>
      <xdr:row>4</xdr:row>
      <xdr:rowOff>206520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55C8135B-6B9D-4F28-B254-F794533250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211287" y="279633"/>
          <a:ext cx="2728693" cy="906601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14</xdr:col>
      <xdr:colOff>1085850</xdr:colOff>
      <xdr:row>2</xdr:row>
      <xdr:rowOff>66675</xdr:rowOff>
    </xdr:from>
    <xdr:ext cx="1981200" cy="647700"/>
    <xdr:pic>
      <xdr:nvPicPr>
        <xdr:cNvPr id="2" name="image1.png">
          <a:extLst>
            <a:ext uri="{FF2B5EF4-FFF2-40B4-BE49-F238E27FC236}">
              <a16:creationId xmlns:a16="http://schemas.microsoft.com/office/drawing/2014/main" id="{E815F0F6-5308-43EE-9401-46C8FF16249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7360265" y="541020"/>
          <a:ext cx="1981200" cy="647700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257175</xdr:colOff>
      <xdr:row>1</xdr:row>
      <xdr:rowOff>66675</xdr:rowOff>
    </xdr:from>
    <xdr:ext cx="1866900" cy="981075"/>
    <xdr:pic>
      <xdr:nvPicPr>
        <xdr:cNvPr id="3" name="image2.png">
          <a:extLst>
            <a:ext uri="{FF2B5EF4-FFF2-40B4-BE49-F238E27FC236}">
              <a16:creationId xmlns:a16="http://schemas.microsoft.com/office/drawing/2014/main" id="{87A309E6-E9EA-49F8-B740-F98AD7EBA2A3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07720" y="302895"/>
          <a:ext cx="1866900" cy="981075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4</xdr:col>
      <xdr:colOff>1547406</xdr:colOff>
      <xdr:row>1</xdr:row>
      <xdr:rowOff>85323</xdr:rowOff>
    </xdr:from>
    <xdr:to>
      <xdr:col>4</xdr:col>
      <xdr:colOff>4278004</xdr:colOff>
      <xdr:row>5</xdr:row>
      <xdr:rowOff>16020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463AAE58-954E-418C-A7AC-BCBE4B8AE9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921727" y="330252"/>
          <a:ext cx="2730598" cy="91041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1152525</xdr:colOff>
      <xdr:row>2</xdr:row>
      <xdr:rowOff>95250</xdr:rowOff>
    </xdr:from>
    <xdr:ext cx="1981200" cy="647700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161925</xdr:colOff>
      <xdr:row>1</xdr:row>
      <xdr:rowOff>114300</xdr:rowOff>
    </xdr:from>
    <xdr:ext cx="1866900" cy="981075"/>
    <xdr:pic>
      <xdr:nvPicPr>
        <xdr:cNvPr id="3" name="image2.png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twoCellAnchor editAs="oneCell">
    <xdr:from>
      <xdr:col>2</xdr:col>
      <xdr:colOff>1034143</xdr:colOff>
      <xdr:row>1</xdr:row>
      <xdr:rowOff>136072</xdr:rowOff>
    </xdr:from>
    <xdr:to>
      <xdr:col>2</xdr:col>
      <xdr:colOff>3755216</xdr:colOff>
      <xdr:row>5</xdr:row>
      <xdr:rowOff>94303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EEC1028D-84DD-4AF8-A3E9-CDCD9838EE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286000" y="312965"/>
          <a:ext cx="2724883" cy="94175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14</xdr:col>
      <xdr:colOff>1085850</xdr:colOff>
      <xdr:row>2</xdr:row>
      <xdr:rowOff>66675</xdr:rowOff>
    </xdr:from>
    <xdr:ext cx="1981200" cy="647700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257175</xdr:colOff>
      <xdr:row>1</xdr:row>
      <xdr:rowOff>66675</xdr:rowOff>
    </xdr:from>
    <xdr:ext cx="1866900" cy="981075"/>
    <xdr:pic>
      <xdr:nvPicPr>
        <xdr:cNvPr id="3" name="image2.png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twoCellAnchor editAs="oneCell">
    <xdr:from>
      <xdr:col>4</xdr:col>
      <xdr:colOff>476251</xdr:colOff>
      <xdr:row>1</xdr:row>
      <xdr:rowOff>124239</xdr:rowOff>
    </xdr:from>
    <xdr:to>
      <xdr:col>4</xdr:col>
      <xdr:colOff>3203039</xdr:colOff>
      <xdr:row>5</xdr:row>
      <xdr:rowOff>60651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B9395AD7-D5AB-4A51-A55B-7D59CC7F52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141305" y="372717"/>
          <a:ext cx="2726788" cy="93794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257175</xdr:colOff>
      <xdr:row>1</xdr:row>
      <xdr:rowOff>66675</xdr:rowOff>
    </xdr:from>
    <xdr:ext cx="1866900" cy="981075"/>
    <xdr:pic>
      <xdr:nvPicPr>
        <xdr:cNvPr id="3" name="image2.png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</xdr:col>
      <xdr:colOff>709009</xdr:colOff>
      <xdr:row>2</xdr:row>
      <xdr:rowOff>55245</xdr:rowOff>
    </xdr:from>
    <xdr:ext cx="1981200" cy="647700"/>
    <xdr:pic>
      <xdr:nvPicPr>
        <xdr:cNvPr id="4" name="image1.png">
          <a:extLst>
            <a:ext uri="{FF2B5EF4-FFF2-40B4-BE49-F238E27FC236}">
              <a16:creationId xmlns:a16="http://schemas.microsoft.com/office/drawing/2014/main" id="{CBE683DA-B49C-47EB-AEF9-ED72C47BC13B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7871327" y="540154"/>
          <a:ext cx="1981200" cy="647700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255270</xdr:colOff>
      <xdr:row>1</xdr:row>
      <xdr:rowOff>64770</xdr:rowOff>
    </xdr:from>
    <xdr:ext cx="1866900" cy="981075"/>
    <xdr:pic>
      <xdr:nvPicPr>
        <xdr:cNvPr id="5" name="image2.png">
          <a:extLst>
            <a:ext uri="{FF2B5EF4-FFF2-40B4-BE49-F238E27FC236}">
              <a16:creationId xmlns:a16="http://schemas.microsoft.com/office/drawing/2014/main" id="{3DB9D0AA-D33F-448C-B7B4-87DF4D5E793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74345" y="302895"/>
          <a:ext cx="1866900" cy="981075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3</xdr:col>
      <xdr:colOff>813955</xdr:colOff>
      <xdr:row>1</xdr:row>
      <xdr:rowOff>69272</xdr:rowOff>
    </xdr:from>
    <xdr:to>
      <xdr:col>4</xdr:col>
      <xdr:colOff>2703755</xdr:colOff>
      <xdr:row>5</xdr:row>
      <xdr:rowOff>33589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875D9F34-5EF3-4143-821C-5905439676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944091" y="311727"/>
          <a:ext cx="2721073" cy="93413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4267200</xdr:colOff>
      <xdr:row>17</xdr:row>
      <xdr:rowOff>0</xdr:rowOff>
    </xdr:from>
    <xdr:ext cx="66675" cy="238125"/>
    <xdr:sp macro="" textlink="">
      <xdr:nvSpPr>
        <xdr:cNvPr id="3" name="Shape 3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 txBox="1"/>
      </xdr:nvSpPr>
      <xdr:spPr>
        <a:xfrm>
          <a:off x="5317425" y="3665700"/>
          <a:ext cx="5715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>
            <a:latin typeface="Cambria"/>
            <a:ea typeface="Cambria"/>
            <a:cs typeface="Cambria"/>
            <a:sym typeface="Cambria"/>
          </a:endParaRPr>
        </a:p>
      </xdr:txBody>
    </xdr:sp>
    <xdr:clientData fLocksWithSheet="0"/>
  </xdr:oneCellAnchor>
  <xdr:oneCellAnchor>
    <xdr:from>
      <xdr:col>2</xdr:col>
      <xdr:colOff>2638425</xdr:colOff>
      <xdr:row>15</xdr:row>
      <xdr:rowOff>9525</xdr:rowOff>
    </xdr:from>
    <xdr:ext cx="5038725" cy="942975"/>
    <xdr:pic>
      <xdr:nvPicPr>
        <xdr:cNvPr id="2" name="image3.jpg" descr="Resultado de imagem para COMPOSIÇÃO BDI FORMULA TCU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157441</xdr:colOff>
      <xdr:row>2</xdr:row>
      <xdr:rowOff>95250</xdr:rowOff>
    </xdr:from>
    <xdr:ext cx="1981200" cy="647700"/>
    <xdr:pic>
      <xdr:nvPicPr>
        <xdr:cNvPr id="4" name="image1.png">
          <a:extLst>
            <a:ext uri="{FF2B5EF4-FFF2-40B4-BE49-F238E27FC236}">
              <a16:creationId xmlns:a16="http://schemas.microsoft.com/office/drawing/2014/main" id="{F70BCFE4-97F2-4B89-BF14-87FE863A4DC7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0135159" y="579344"/>
          <a:ext cx="1981200" cy="647700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161925</xdr:colOff>
      <xdr:row>1</xdr:row>
      <xdr:rowOff>114300</xdr:rowOff>
    </xdr:from>
    <xdr:ext cx="1866900" cy="981075"/>
    <xdr:pic>
      <xdr:nvPicPr>
        <xdr:cNvPr id="5" name="image2.png">
          <a:extLst>
            <a:ext uri="{FF2B5EF4-FFF2-40B4-BE49-F238E27FC236}">
              <a16:creationId xmlns:a16="http://schemas.microsoft.com/office/drawing/2014/main" id="{BF248BD4-D449-4749-936C-5274AFAC35D4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405765" y="289560"/>
          <a:ext cx="1866900" cy="981075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2</xdr:col>
      <xdr:colOff>512989</xdr:colOff>
      <xdr:row>2</xdr:row>
      <xdr:rowOff>25311</xdr:rowOff>
    </xdr:from>
    <xdr:to>
      <xdr:col>2</xdr:col>
      <xdr:colOff>2667000</xdr:colOff>
      <xdr:row>5</xdr:row>
      <xdr:rowOff>33959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50F5A0F9-0B50-409B-8FDD-A551E1A369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173060" y="515168"/>
          <a:ext cx="2154011" cy="74343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102870</xdr:colOff>
      <xdr:row>39</xdr:row>
      <xdr:rowOff>20628</xdr:rowOff>
    </xdr:from>
    <xdr:to>
      <xdr:col>13</xdr:col>
      <xdr:colOff>245691</xdr:colOff>
      <xdr:row>65</xdr:row>
      <xdr:rowOff>92671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BCC94FF1-B22D-4A74-AA51-70A332FB6C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03120" y="6707178"/>
          <a:ext cx="6810321" cy="4520218"/>
        </a:xfrm>
        <a:prstGeom prst="rect">
          <a:avLst/>
        </a:prstGeom>
      </xdr:spPr>
    </xdr:pic>
    <xdr:clientData/>
  </xdr:twoCellAnchor>
  <xdr:twoCellAnchor editAs="oneCell">
    <xdr:from>
      <xdr:col>3</xdr:col>
      <xdr:colOff>83819</xdr:colOff>
      <xdr:row>73</xdr:row>
      <xdr:rowOff>78549</xdr:rowOff>
    </xdr:from>
    <xdr:to>
      <xdr:col>13</xdr:col>
      <xdr:colOff>493490</xdr:colOff>
      <xdr:row>101</xdr:row>
      <xdr:rowOff>57150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FF8BB604-C160-4C84-88AE-F7D9FD046F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084069" y="12594399"/>
          <a:ext cx="7077171" cy="4779201"/>
        </a:xfrm>
        <a:prstGeom prst="rect">
          <a:avLst/>
        </a:prstGeom>
      </xdr:spPr>
    </xdr:pic>
    <xdr:clientData/>
  </xdr:twoCellAnchor>
  <xdr:twoCellAnchor editAs="oneCell">
    <xdr:from>
      <xdr:col>3</xdr:col>
      <xdr:colOff>19050</xdr:colOff>
      <xdr:row>2</xdr:row>
      <xdr:rowOff>64770</xdr:rowOff>
    </xdr:from>
    <xdr:to>
      <xdr:col>12</xdr:col>
      <xdr:colOff>457200</xdr:colOff>
      <xdr:row>15</xdr:row>
      <xdr:rowOff>125730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772EE254-85F4-48BF-A06C-E32D0BC46A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019300" y="407670"/>
          <a:ext cx="6438900" cy="2289810"/>
        </a:xfrm>
        <a:prstGeom prst="rect">
          <a:avLst/>
        </a:prstGeom>
      </xdr:spPr>
    </xdr:pic>
    <xdr:clientData/>
  </xdr:twoCellAnchor>
  <xdr:twoCellAnchor editAs="oneCell">
    <xdr:from>
      <xdr:col>3</xdr:col>
      <xdr:colOff>81915</xdr:colOff>
      <xdr:row>16</xdr:row>
      <xdr:rowOff>169545</xdr:rowOff>
    </xdr:from>
    <xdr:to>
      <xdr:col>12</xdr:col>
      <xdr:colOff>406648</xdr:colOff>
      <xdr:row>31</xdr:row>
      <xdr:rowOff>17483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3390DDEF-B218-471A-AE4A-AEC29DB6B2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082165" y="2912745"/>
          <a:ext cx="6325483" cy="2419688"/>
        </a:xfrm>
        <a:prstGeom prst="rect">
          <a:avLst/>
        </a:prstGeom>
      </xdr:spPr>
    </xdr:pic>
    <xdr:clientData/>
  </xdr:twoCellAnchor>
  <xdr:twoCellAnchor editAs="oneCell">
    <xdr:from>
      <xdr:col>3</xdr:col>
      <xdr:colOff>276225</xdr:colOff>
      <xdr:row>105</xdr:row>
      <xdr:rowOff>104775</xdr:rowOff>
    </xdr:from>
    <xdr:to>
      <xdr:col>11</xdr:col>
      <xdr:colOff>520844</xdr:colOff>
      <xdr:row>117</xdr:row>
      <xdr:rowOff>25042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A2DFEEEF-C24B-400D-9896-94FCE0327C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276475" y="18107025"/>
          <a:ext cx="5578619" cy="197766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157441</xdr:colOff>
      <xdr:row>2</xdr:row>
      <xdr:rowOff>95250</xdr:rowOff>
    </xdr:from>
    <xdr:ext cx="1981200" cy="647700"/>
    <xdr:pic>
      <xdr:nvPicPr>
        <xdr:cNvPr id="2" name="image1.png">
          <a:extLst>
            <a:ext uri="{FF2B5EF4-FFF2-40B4-BE49-F238E27FC236}">
              <a16:creationId xmlns:a16="http://schemas.microsoft.com/office/drawing/2014/main" id="{BD6A7730-9F53-40D3-A364-6FB462FE377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566361" y="582930"/>
          <a:ext cx="1981200" cy="647700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161925</xdr:colOff>
      <xdr:row>1</xdr:row>
      <xdr:rowOff>114300</xdr:rowOff>
    </xdr:from>
    <xdr:ext cx="1866900" cy="981075"/>
    <xdr:pic>
      <xdr:nvPicPr>
        <xdr:cNvPr id="3" name="image2.png">
          <a:extLst>
            <a:ext uri="{FF2B5EF4-FFF2-40B4-BE49-F238E27FC236}">
              <a16:creationId xmlns:a16="http://schemas.microsoft.com/office/drawing/2014/main" id="{7CB9CCC9-EA9B-402F-BDEF-FBA96F55AC0E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05765" y="365760"/>
          <a:ext cx="1866900" cy="981075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2</xdr:col>
      <xdr:colOff>588819</xdr:colOff>
      <xdr:row>1</xdr:row>
      <xdr:rowOff>121227</xdr:rowOff>
    </xdr:from>
    <xdr:to>
      <xdr:col>2</xdr:col>
      <xdr:colOff>3327037</xdr:colOff>
      <xdr:row>5</xdr:row>
      <xdr:rowOff>114663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F131D2BB-529C-40E1-B4E8-57489A0CE5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251364" y="363682"/>
          <a:ext cx="2738218" cy="96325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1917661</xdr:colOff>
      <xdr:row>2</xdr:row>
      <xdr:rowOff>62592</xdr:rowOff>
    </xdr:from>
    <xdr:ext cx="1981200" cy="647700"/>
    <xdr:pic>
      <xdr:nvPicPr>
        <xdr:cNvPr id="2" name="image1.png">
          <a:extLst>
            <a:ext uri="{FF2B5EF4-FFF2-40B4-BE49-F238E27FC236}">
              <a16:creationId xmlns:a16="http://schemas.microsoft.com/office/drawing/2014/main" id="{EBF259E1-EFE5-4EBE-B4E6-BE319180675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2395161" y="474072"/>
          <a:ext cx="1981200" cy="647700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161925</xdr:colOff>
      <xdr:row>1</xdr:row>
      <xdr:rowOff>114300</xdr:rowOff>
    </xdr:from>
    <xdr:ext cx="1866900" cy="981075"/>
    <xdr:pic>
      <xdr:nvPicPr>
        <xdr:cNvPr id="3" name="image2.png">
          <a:extLst>
            <a:ext uri="{FF2B5EF4-FFF2-40B4-BE49-F238E27FC236}">
              <a16:creationId xmlns:a16="http://schemas.microsoft.com/office/drawing/2014/main" id="{E456810E-668D-46C3-8B9C-60B645481431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21945" y="289560"/>
          <a:ext cx="1866900" cy="981075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2</xdr:col>
      <xdr:colOff>1183821</xdr:colOff>
      <xdr:row>1</xdr:row>
      <xdr:rowOff>231322</xdr:rowOff>
    </xdr:from>
    <xdr:to>
      <xdr:col>3</xdr:col>
      <xdr:colOff>1349777</xdr:colOff>
      <xdr:row>4</xdr:row>
      <xdr:rowOff>190500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258F6EB3-156E-4A2F-B4D7-87EA2FF157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122714" y="408215"/>
          <a:ext cx="2024419" cy="69396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246264</xdr:colOff>
      <xdr:row>0</xdr:row>
      <xdr:rowOff>1</xdr:rowOff>
    </xdr:from>
    <xdr:to>
      <xdr:col>2</xdr:col>
      <xdr:colOff>635057</xdr:colOff>
      <xdr:row>4</xdr:row>
      <xdr:rowOff>296617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9E48FBDD-3B16-4B5C-905F-88238904C4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6264" y="1"/>
          <a:ext cx="2749781" cy="991248"/>
        </a:xfrm>
        <a:prstGeom prst="rect">
          <a:avLst/>
        </a:prstGeom>
      </xdr:spPr>
    </xdr:pic>
    <xdr:clientData/>
  </xdr:twoCellAnchor>
  <xdr:twoCellAnchor editAs="oneCell">
    <xdr:from>
      <xdr:col>9</xdr:col>
      <xdr:colOff>329045</xdr:colOff>
      <xdr:row>0</xdr:row>
      <xdr:rowOff>0</xdr:rowOff>
    </xdr:from>
    <xdr:to>
      <xdr:col>11</xdr:col>
      <xdr:colOff>1543348</xdr:colOff>
      <xdr:row>4</xdr:row>
      <xdr:rowOff>294409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E77F0046-AECB-41E6-BB40-D97560A2B5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897590" y="0"/>
          <a:ext cx="3842857" cy="98904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3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4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1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2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ricardobombas.com.br/pressurizadorrowamaxpress20emonofsico220v/prod-1186963/?form=MG0AV3" TargetMode="External"/><Relationship Id="rId2" Type="http://schemas.openxmlformats.org/officeDocument/2006/relationships/hyperlink" Target="https://www.ricardobombas.com.br/PressurizadorRowaMAXPRESS270VFMonofsico220V/prod-5423892/?form=MG0AV3" TargetMode="External"/><Relationship Id="rId1" Type="http://schemas.openxmlformats.org/officeDocument/2006/relationships/hyperlink" Target="https://www.ricardobombas.com.br/PressurizadorRowaMAXPRESS270VFMonofsico220V/prod-5423892/?form=MG0AV3" TargetMode="External"/><Relationship Id="rId4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D8D8D8"/>
    <pageSetUpPr fitToPage="1"/>
  </sheetPr>
  <dimension ref="A1:Z1000"/>
  <sheetViews>
    <sheetView topLeftCell="A6" workbookViewId="0">
      <selection activeCell="B12" sqref="B12"/>
    </sheetView>
  </sheetViews>
  <sheetFormatPr defaultColWidth="12.59765625" defaultRowHeight="15" customHeight="1" x14ac:dyDescent="0.25"/>
  <cols>
    <col min="1" max="1" width="3.19921875" customWidth="1"/>
    <col min="2" max="4" width="40" customWidth="1"/>
    <col min="5" max="5" width="44.3984375" customWidth="1"/>
    <col min="6" max="6" width="3.19921875" customWidth="1"/>
    <col min="7" max="11" width="7.59765625" customWidth="1"/>
    <col min="12" max="12" width="9.09765625" bestFit="1" customWidth="1"/>
    <col min="13" max="22" width="7.59765625" customWidth="1"/>
  </cols>
  <sheetData>
    <row r="1" spans="1:26" ht="15" customHeight="1" x14ac:dyDescent="0.25">
      <c r="A1" s="1"/>
      <c r="B1" s="2"/>
      <c r="C1" s="2"/>
      <c r="D1" s="2"/>
      <c r="E1" s="2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8.75" customHeight="1" x14ac:dyDescent="0.35">
      <c r="A2" s="3"/>
      <c r="B2" s="327" t="s">
        <v>0</v>
      </c>
      <c r="C2" s="328"/>
      <c r="D2" s="328"/>
      <c r="E2" s="329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1"/>
      <c r="X2" s="1"/>
      <c r="Y2" s="1"/>
      <c r="Z2" s="1"/>
    </row>
    <row r="3" spans="1:26" ht="18.75" customHeight="1" x14ac:dyDescent="0.35">
      <c r="A3" s="3"/>
      <c r="B3" s="330"/>
      <c r="C3" s="331"/>
      <c r="D3" s="331"/>
      <c r="E3" s="332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1"/>
      <c r="X3" s="1"/>
      <c r="Y3" s="1"/>
      <c r="Z3" s="1"/>
    </row>
    <row r="4" spans="1:26" ht="18.75" customHeight="1" x14ac:dyDescent="0.35">
      <c r="A4" s="3"/>
      <c r="B4" s="330"/>
      <c r="C4" s="331"/>
      <c r="D4" s="331"/>
      <c r="E4" s="332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1"/>
      <c r="X4" s="1"/>
      <c r="Y4" s="1"/>
      <c r="Z4" s="1"/>
    </row>
    <row r="5" spans="1:26" ht="18.75" customHeight="1" x14ac:dyDescent="0.35">
      <c r="A5" s="3"/>
      <c r="B5" s="330"/>
      <c r="C5" s="331"/>
      <c r="D5" s="331"/>
      <c r="E5" s="332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1"/>
      <c r="X5" s="1"/>
      <c r="Y5" s="1"/>
      <c r="Z5" s="1"/>
    </row>
    <row r="6" spans="1:26" ht="18.75" customHeight="1" x14ac:dyDescent="0.35">
      <c r="A6" s="3"/>
      <c r="B6" s="333"/>
      <c r="C6" s="334"/>
      <c r="D6" s="334"/>
      <c r="E6" s="335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1"/>
      <c r="X6" s="1"/>
      <c r="Y6" s="1"/>
      <c r="Z6" s="1"/>
    </row>
    <row r="7" spans="1:26" ht="15" customHeight="1" x14ac:dyDescent="0.25">
      <c r="A7" s="1"/>
      <c r="B7" s="4"/>
      <c r="C7" s="4"/>
      <c r="D7" s="4"/>
      <c r="E7" s="4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5" customHeight="1" x14ac:dyDescent="0.25">
      <c r="A8" s="1"/>
      <c r="B8" s="5" t="s">
        <v>1</v>
      </c>
      <c r="C8" s="6"/>
      <c r="D8" s="6"/>
      <c r="E8" s="7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5" customHeight="1" x14ac:dyDescent="0.25">
      <c r="A9" s="1"/>
      <c r="B9" s="8" t="str">
        <f>C15</f>
        <v>Unidade Básica de Saúde Porte 2 - Área Construída: 500,17m²</v>
      </c>
      <c r="C9" s="9"/>
      <c r="D9" s="9"/>
      <c r="E9" s="10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5" customHeight="1" x14ac:dyDescent="0.25">
      <c r="A10" s="1"/>
      <c r="B10" s="11"/>
      <c r="C10" s="9"/>
      <c r="D10" s="9"/>
      <c r="E10" s="10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5" customHeight="1" x14ac:dyDescent="0.25">
      <c r="A11" s="1"/>
      <c r="B11" s="12" t="s">
        <v>2</v>
      </c>
      <c r="C11" s="9"/>
      <c r="D11" s="9"/>
      <c r="E11" s="10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5" customHeight="1" x14ac:dyDescent="0.25">
      <c r="A12" s="1"/>
      <c r="B12" s="280" t="s">
        <v>1676</v>
      </c>
      <c r="C12" s="9"/>
      <c r="D12" s="9"/>
      <c r="E12" s="10"/>
      <c r="F12" s="1"/>
      <c r="G12" s="255"/>
      <c r="H12" s="255"/>
      <c r="I12" s="255"/>
      <c r="J12" s="255"/>
      <c r="K12" s="256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5" customHeight="1" x14ac:dyDescent="0.25">
      <c r="A13" s="1"/>
      <c r="B13" s="13"/>
      <c r="C13" s="14"/>
      <c r="D13" s="14"/>
      <c r="E13" s="15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5" customHeight="1" x14ac:dyDescent="0.25">
      <c r="A14" s="1"/>
      <c r="B14" s="16"/>
      <c r="C14" s="17"/>
      <c r="D14" s="18"/>
      <c r="E14" s="17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30" customHeight="1" x14ac:dyDescent="0.25">
      <c r="A15" s="1"/>
      <c r="B15" s="19" t="s">
        <v>3</v>
      </c>
      <c r="C15" s="254" t="s">
        <v>1636</v>
      </c>
      <c r="D15" s="20"/>
      <c r="E15" s="2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30" customHeight="1" x14ac:dyDescent="0.25">
      <c r="A16" s="22"/>
      <c r="B16" s="19" t="s">
        <v>4</v>
      </c>
      <c r="C16" s="336" t="s">
        <v>1368</v>
      </c>
      <c r="D16" s="337"/>
      <c r="E16" s="338"/>
      <c r="F16" s="22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30" customHeight="1" x14ac:dyDescent="0.25">
      <c r="A17" s="22"/>
      <c r="B17" s="19" t="s">
        <v>5</v>
      </c>
      <c r="C17" s="24" t="s">
        <v>1656</v>
      </c>
      <c r="D17" s="20"/>
      <c r="E17" s="21"/>
      <c r="F17" s="22"/>
      <c r="G17" s="1"/>
      <c r="H17" s="1"/>
      <c r="I17" s="1"/>
      <c r="J17" s="211"/>
      <c r="K17" s="211"/>
      <c r="L17" s="211"/>
      <c r="M17" s="211"/>
      <c r="N17" s="211"/>
      <c r="O17" s="211"/>
      <c r="P17" s="211"/>
      <c r="Q17" s="211"/>
      <c r="R17" s="1"/>
      <c r="S17" s="1"/>
      <c r="T17" s="1"/>
      <c r="U17" s="1"/>
      <c r="V17" s="1"/>
      <c r="W17" s="1"/>
      <c r="X17" s="1"/>
      <c r="Y17" s="1"/>
      <c r="Z17" s="1"/>
    </row>
    <row r="18" spans="1:26" ht="30" customHeight="1" x14ac:dyDescent="0.25">
      <c r="A18" s="1"/>
      <c r="B18" s="19" t="s">
        <v>6</v>
      </c>
      <c r="C18" s="25">
        <v>45627</v>
      </c>
      <c r="D18" s="26"/>
      <c r="E18" s="27"/>
      <c r="F18" s="1"/>
      <c r="G18" s="1"/>
      <c r="H18" s="1"/>
      <c r="I18" s="1"/>
      <c r="J18" s="211"/>
      <c r="K18" s="211"/>
      <c r="L18" s="211"/>
      <c r="M18" s="211"/>
      <c r="N18" s="211"/>
      <c r="O18" s="211"/>
      <c r="P18" s="211"/>
      <c r="Q18" s="211"/>
      <c r="R18" s="1"/>
      <c r="S18" s="1"/>
      <c r="T18" s="1"/>
      <c r="U18" s="1"/>
      <c r="V18" s="1"/>
      <c r="W18" s="1"/>
      <c r="X18" s="1"/>
      <c r="Y18" s="1"/>
      <c r="Z18" s="1"/>
    </row>
    <row r="19" spans="1:26" ht="30" customHeight="1" x14ac:dyDescent="0.25">
      <c r="A19" s="1"/>
      <c r="B19" s="19" t="s">
        <v>7</v>
      </c>
      <c r="C19" s="28">
        <f>'BDI DESONERADO'!E36</f>
        <v>0.26869999999999999</v>
      </c>
      <c r="D19" s="26"/>
      <c r="E19" s="27"/>
      <c r="F19" s="1"/>
      <c r="G19" s="1"/>
      <c r="H19" s="1"/>
      <c r="I19" s="1"/>
      <c r="J19" s="211"/>
      <c r="K19" s="211"/>
      <c r="L19" s="211"/>
      <c r="M19" s="211"/>
      <c r="N19" s="211"/>
      <c r="O19" s="211"/>
      <c r="P19" s="211"/>
      <c r="Q19" s="211"/>
      <c r="R19" s="1"/>
      <c r="S19" s="1"/>
      <c r="T19" s="1"/>
      <c r="U19" s="1"/>
      <c r="V19" s="1"/>
      <c r="W19" s="1"/>
      <c r="X19" s="1"/>
      <c r="Y19" s="1"/>
      <c r="Z19" s="1"/>
    </row>
    <row r="20" spans="1:26" ht="30" customHeight="1" x14ac:dyDescent="0.25">
      <c r="A20" s="1"/>
      <c r="B20" s="19" t="s">
        <v>8</v>
      </c>
      <c r="C20" s="28">
        <f>'BDI DESONERADO'!F36</f>
        <v>0.19070000000000001</v>
      </c>
      <c r="D20" s="26"/>
      <c r="E20" s="27"/>
      <c r="F20" s="1"/>
      <c r="G20" s="1"/>
      <c r="H20" s="1"/>
      <c r="I20" s="1"/>
      <c r="J20" s="211"/>
      <c r="K20" s="211"/>
      <c r="L20" s="211"/>
      <c r="M20" s="211"/>
      <c r="N20" s="211"/>
      <c r="O20" s="211"/>
      <c r="P20" s="211"/>
      <c r="Q20" s="211"/>
      <c r="R20" s="1"/>
      <c r="S20" s="1"/>
      <c r="T20" s="1"/>
      <c r="U20" s="1"/>
      <c r="V20" s="1"/>
      <c r="W20" s="1"/>
      <c r="X20" s="1"/>
      <c r="Y20" s="1"/>
      <c r="Z20" s="1"/>
    </row>
    <row r="21" spans="1:26" ht="30" customHeight="1" x14ac:dyDescent="0.25">
      <c r="A21" s="1"/>
      <c r="B21" s="19" t="s">
        <v>9</v>
      </c>
      <c r="C21" s="29">
        <v>500.17</v>
      </c>
      <c r="D21" s="26"/>
      <c r="E21" s="27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30" customHeight="1" x14ac:dyDescent="0.25">
      <c r="A22" s="1"/>
      <c r="B22" s="19" t="s">
        <v>10</v>
      </c>
      <c r="C22" s="217" t="s">
        <v>1653</v>
      </c>
      <c r="D22" s="26"/>
      <c r="E22" s="27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30" customHeight="1" x14ac:dyDescent="0.25">
      <c r="A23" s="1"/>
      <c r="B23" s="19" t="s">
        <v>11</v>
      </c>
      <c r="C23" s="30" t="s">
        <v>1639</v>
      </c>
      <c r="D23" s="26"/>
      <c r="E23" s="27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30" customHeight="1" x14ac:dyDescent="0.25">
      <c r="A24" s="1"/>
      <c r="B24" s="31" t="s">
        <v>12</v>
      </c>
      <c r="C24" s="30" t="s">
        <v>1654</v>
      </c>
      <c r="D24" s="26"/>
      <c r="E24" s="27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30" customHeight="1" x14ac:dyDescent="0.25">
      <c r="A25" s="1"/>
      <c r="B25" s="19" t="s">
        <v>13</v>
      </c>
      <c r="C25" s="30" t="s">
        <v>1655</v>
      </c>
      <c r="D25" s="26"/>
      <c r="E25" s="27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5.75" customHeight="1" x14ac:dyDescent="0.25">
      <c r="A26" s="1"/>
      <c r="B26" s="32"/>
      <c r="C26" s="33"/>
      <c r="D26" s="33"/>
      <c r="E26" s="33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5" customHeight="1" x14ac:dyDescent="0.3">
      <c r="A27" s="1"/>
      <c r="B27" s="34"/>
      <c r="C27" s="35"/>
      <c r="D27" s="36"/>
      <c r="E27" s="37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5" customHeight="1" x14ac:dyDescent="0.3">
      <c r="A28" s="1"/>
      <c r="B28" s="38"/>
      <c r="C28" s="39"/>
      <c r="D28" s="39"/>
      <c r="E28" s="40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5" customHeight="1" x14ac:dyDescent="0.3">
      <c r="A29" s="1"/>
      <c r="B29" s="38"/>
      <c r="C29" s="39"/>
      <c r="D29" s="39"/>
      <c r="E29" s="40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5" customHeight="1" x14ac:dyDescent="0.3">
      <c r="A30" s="1"/>
      <c r="B30" s="38"/>
      <c r="C30" s="39"/>
      <c r="D30" s="39"/>
      <c r="E30" s="40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5" customHeight="1" x14ac:dyDescent="0.3">
      <c r="A31" s="1"/>
      <c r="B31" s="339" t="s">
        <v>14</v>
      </c>
      <c r="C31" s="331"/>
      <c r="D31" s="331"/>
      <c r="E31" s="332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5" customHeight="1" x14ac:dyDescent="0.3">
      <c r="A32" s="1"/>
      <c r="B32" s="340" t="str">
        <f t="shared" ref="B32:B33" si="0">C24</f>
        <v>Kleber Viana Bueno Telles</v>
      </c>
      <c r="C32" s="331"/>
      <c r="D32" s="331"/>
      <c r="E32" s="332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5" customHeight="1" x14ac:dyDescent="0.25">
      <c r="A33" s="1"/>
      <c r="B33" s="341" t="str">
        <f t="shared" si="0"/>
        <v>Engenheiro Civil  - CREA 27115 DPE</v>
      </c>
      <c r="C33" s="331"/>
      <c r="D33" s="331"/>
      <c r="E33" s="332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5" customHeight="1" x14ac:dyDescent="0.25">
      <c r="A34" s="1"/>
      <c r="B34" s="41"/>
      <c r="C34" s="42"/>
      <c r="D34" s="42"/>
      <c r="E34" s="43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5.75" customHeight="1" x14ac:dyDescent="0.25">
      <c r="A35" s="1"/>
      <c r="B35" s="2"/>
      <c r="C35" s="22"/>
      <c r="D35" s="22"/>
      <c r="E35" s="22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5.75" customHeight="1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5.75" customHeight="1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5.75" customHeight="1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5.75" customHeight="1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5.75" customHeight="1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5.75" customHeight="1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5.75" customHeight="1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5.75" customHeight="1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5.75" customHeight="1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5.75" customHeight="1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5.75" customHeight="1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5.75" customHeight="1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5.75" customHeight="1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5.75" customHeight="1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5.75" customHeight="1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5.75" customHeight="1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5.75" customHeight="1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5.75" customHeight="1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5.75" customHeight="1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5.75" customHeight="1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5.75" customHeight="1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5.75" customHeight="1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5.75" customHeight="1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5.75" customHeight="1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5.75" customHeight="1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5.75" customHeight="1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5.75" customHeight="1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5.75" customHeight="1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5.75" customHeight="1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5.75" customHeight="1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5.75" customHeight="1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5.75" customHeight="1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5.75" customHeight="1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5.75" customHeight="1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5.75" customHeight="1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5.75" customHeight="1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5.75" customHeight="1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5.75" customHeight="1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5.75" customHeight="1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5.75" customHeight="1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5.75" customHeight="1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5.75" customHeight="1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5.75" customHeight="1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5.75" customHeight="1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5.75" customHeight="1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215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5.75" customHeight="1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5.75" customHeight="1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5.75" customHeight="1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5.75" customHeight="1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5.75" customHeight="1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5.75" customHeight="1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5.75" customHeight="1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5.75" customHeight="1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5.75" customHeight="1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5.75" customHeight="1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5.75" customHeight="1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5.75" customHeight="1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5.75" customHeight="1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5.75" customHeight="1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5.75" customHeight="1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5.75" customHeight="1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5.75" customHeight="1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5.75" customHeight="1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5.75" customHeight="1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5.75" customHeight="1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5.75" customHeight="1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5.75" customHeight="1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5.75" customHeight="1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5.75" customHeight="1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5.75" customHeight="1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5.75" customHeight="1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5.75" customHeight="1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5.75" customHeight="1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5.75" customHeight="1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5.75" customHeight="1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5.75" customHeight="1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5.75" customHeight="1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5.75" customHeight="1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5.75" customHeight="1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5.75" customHeight="1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5.75" customHeight="1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5.75" customHeight="1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5.75" customHeight="1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5.75" customHeight="1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5.75" customHeight="1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5.75" customHeight="1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5.75" customHeight="1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5.75" customHeight="1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5.75" customHeight="1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5.75" customHeight="1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5.75" customHeight="1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5.75" customHeight="1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5.75" customHeight="1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5.75" customHeight="1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5.75" customHeight="1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5.75" customHeight="1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5.75" customHeight="1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5.75" customHeight="1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5.75" customHeight="1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5.75" customHeight="1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5.75" customHeight="1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5.75" customHeight="1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5.75" customHeight="1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5.75" customHeight="1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5.75" customHeight="1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5.75" customHeight="1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5.75" customHeight="1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5.75" customHeight="1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5.75" customHeight="1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5.75" customHeight="1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5.75" customHeight="1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5.75" customHeight="1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5.75" customHeight="1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5.75" customHeight="1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5.75" customHeight="1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5.75" customHeight="1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5.75" customHeight="1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5.75" customHeight="1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5.75" customHeight="1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5.75" customHeight="1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5.75" customHeight="1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5.75" customHeight="1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5.75" customHeight="1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5.75" customHeight="1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5.75" customHeight="1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5.75" customHeight="1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5.75" customHeight="1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5.75" customHeight="1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5.75" customHeight="1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5.75" customHeight="1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5.75" customHeight="1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5.75" customHeight="1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5.75" customHeight="1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5.75" customHeight="1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5.75" customHeight="1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5.75" customHeight="1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5.75" customHeight="1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5.75" customHeight="1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5.75" customHeight="1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5.75" customHeight="1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5.75" customHeight="1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5.75" customHeight="1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5.75" customHeight="1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5.75" customHeight="1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5.75" customHeight="1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5.75" customHeight="1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5.75" customHeight="1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5.75" customHeight="1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5.75" customHeight="1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5.75" customHeight="1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5.75" customHeight="1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5.75" customHeight="1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5.75" customHeight="1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5.75" customHeight="1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5.75" customHeight="1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5.75" customHeight="1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5.75" customHeight="1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5.75" customHeight="1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5.75" customHeight="1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5.75" customHeight="1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5.75" customHeight="1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5.75" customHeight="1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5.75" customHeight="1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5.75" customHeight="1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5.75" customHeight="1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5.75" customHeight="1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5.75" customHeight="1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5.75" customHeight="1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5.75" customHeight="1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5.75" customHeight="1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5.75" customHeight="1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5.75" customHeight="1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5.75" customHeight="1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5.75" customHeight="1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5.75" customHeight="1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5.75" customHeight="1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5.75" customHeight="1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5.75" customHeight="1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5.75" customHeight="1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5.75" customHeight="1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5.75" customHeight="1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5.75" customHeight="1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5.75" customHeight="1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5.75" customHeight="1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5.75" customHeight="1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5.75" customHeight="1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5.75" customHeight="1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5.75" customHeight="1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5.75" customHeight="1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5.75" customHeight="1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5.75" customHeight="1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5.75" customHeight="1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5.75" customHeight="1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5.75" customHeight="1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5.75" customHeight="1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5.75" customHeight="1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5.75" customHeight="1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5.75" customHeight="1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5.75" customHeight="1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5.75" customHeight="1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5.75" customHeight="1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5.75" customHeight="1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5.75" customHeight="1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5.75" customHeight="1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5.75" customHeight="1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5.75" customHeight="1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5.75" customHeight="1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5.75" customHeight="1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5.75" customHeight="1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5.75" customHeight="1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5.75" customHeight="1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5.75" customHeight="1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5.75" customHeight="1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5.75" customHeight="1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5.75" customHeight="1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5.75" customHeight="1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5.75" customHeight="1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5.75" customHeight="1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5.75" customHeight="1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5.75" customHeight="1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5.75" customHeight="1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5.75" customHeight="1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5.75" customHeight="1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5.75" customHeight="1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5.75" customHeight="1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5.75" customHeight="1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5.75" customHeight="1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5.75" customHeight="1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5.75" customHeight="1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5.75" customHeight="1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5.75" customHeight="1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5.75" customHeight="1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5.75" customHeight="1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5.75" customHeight="1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5.75" customHeight="1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5.75" customHeight="1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5.75" customHeight="1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5.75" customHeight="1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5.75" customHeight="1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5.75" customHeight="1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5.75" customHeight="1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5.75" customHeight="1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5.75" customHeight="1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5.75" customHeight="1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5.75" customHeight="1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5.75" customHeight="1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5.75" customHeight="1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5.75" customHeight="1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5.75" customHeight="1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5.75" customHeight="1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5.75" customHeight="1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5.75" customHeight="1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5.75" customHeight="1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5.75" customHeight="1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5.75" customHeight="1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5.75" customHeight="1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5.75" customHeight="1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5.75" customHeight="1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5.75" customHeight="1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5.75" customHeight="1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5.75" customHeight="1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5.75" customHeight="1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5.75" customHeight="1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5.75" customHeight="1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5.75" customHeight="1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5.75" customHeight="1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5.75" customHeight="1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5.75" customHeight="1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5.75" customHeight="1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5.75" customHeight="1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5.75" customHeight="1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5.75" customHeight="1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5.75" customHeight="1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5.75" customHeight="1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5.75" customHeight="1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5.75" customHeight="1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5.75" customHeight="1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5.75" customHeight="1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5.75" customHeight="1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5.75" customHeight="1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5.75" customHeight="1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5.75" customHeight="1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5.75" customHeight="1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5.75" customHeight="1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5.75" customHeight="1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5.75" customHeight="1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5.75" customHeight="1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5.75" customHeight="1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5.75" customHeight="1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5.75" customHeight="1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5.75" customHeight="1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5.75" customHeight="1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5.75" customHeight="1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5.75" customHeight="1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5.75" customHeight="1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5.75" customHeight="1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5.75" customHeight="1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5.75" customHeight="1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5.75" customHeight="1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5.75" customHeight="1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5.75" customHeight="1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5.75" customHeight="1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5.75" customHeight="1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5.75" customHeight="1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5.75" customHeight="1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5.75" customHeight="1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5.75" customHeight="1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5.75" customHeight="1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5.75" customHeight="1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5.75" customHeight="1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5.75" customHeight="1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5.75" customHeight="1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5.75" customHeight="1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5.75" customHeight="1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5.75" customHeight="1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5.75" customHeight="1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5.75" customHeight="1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5.75" customHeight="1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5.75" customHeight="1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5.75" customHeight="1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5.75" customHeight="1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5.75" customHeight="1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5.75" customHeight="1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5.75" customHeight="1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5.75" customHeight="1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5.75" customHeight="1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5.75" customHeight="1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5.75" customHeight="1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5.75" customHeight="1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5.75" customHeight="1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5.75" customHeight="1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5.75" customHeight="1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5.75" customHeight="1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5.75" customHeight="1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5.75" customHeight="1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5.75" customHeight="1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5.75" customHeight="1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5.75" customHeight="1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5.75" customHeight="1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5.75" customHeight="1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5.75" customHeight="1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5.75" customHeight="1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5.75" customHeight="1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5.75" customHeight="1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5.75" customHeight="1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5.75" customHeight="1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5.75" customHeight="1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5.75" customHeight="1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5.75" customHeight="1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5.75" customHeight="1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5.75" customHeight="1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5.75" customHeight="1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5.75" customHeight="1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5.75" customHeight="1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5.75" customHeight="1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5.75" customHeight="1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5.75" customHeight="1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5.75" customHeight="1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5.75" customHeight="1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5.75" customHeight="1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5.75" customHeight="1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5.75" customHeight="1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5.75" customHeight="1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5.75" customHeight="1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5.75" customHeight="1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5.75" customHeight="1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5.75" customHeight="1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5.75" customHeight="1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5.75" customHeight="1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5.75" customHeight="1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5.75" customHeight="1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5.75" customHeight="1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5.75" customHeight="1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5.75" customHeight="1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5.75" customHeight="1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5.75" customHeight="1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5.75" customHeight="1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5.75" customHeight="1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5.75" customHeight="1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5.75" customHeight="1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5.75" customHeight="1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5.75" customHeight="1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5.75" customHeight="1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5.75" customHeight="1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5.75" customHeight="1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5.75" customHeight="1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5.75" customHeight="1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5.75" customHeight="1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5.75" customHeight="1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5.75" customHeight="1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5.75" customHeight="1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5.75" customHeight="1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5.75" customHeight="1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5.75" customHeight="1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5.75" customHeight="1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5.75" customHeight="1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5.75" customHeight="1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5.75" customHeight="1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5.75" customHeight="1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5.75" customHeight="1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5.75" customHeight="1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5.75" customHeight="1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5.75" customHeight="1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5.75" customHeight="1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5.75" customHeight="1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5.75" customHeight="1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5.75" customHeight="1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5.75" customHeight="1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5.75" customHeight="1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5.75" customHeight="1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5.75" customHeight="1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5.75" customHeight="1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5.75" customHeight="1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5.75" customHeight="1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5.75" customHeight="1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5.75" customHeight="1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5.75" customHeight="1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5.75" customHeight="1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5.75" customHeight="1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5.75" customHeight="1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5.75" customHeight="1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5.75" customHeight="1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5.75" customHeight="1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5.75" customHeight="1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5.75" customHeight="1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5.75" customHeight="1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5.75" customHeight="1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5.75" customHeight="1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5.75" customHeight="1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5.75" customHeight="1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5.75" customHeight="1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5.75" customHeight="1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5.75" customHeight="1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5.75" customHeight="1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5.75" customHeight="1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5.75" customHeight="1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5.75" customHeight="1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5.75" customHeight="1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5.75" customHeight="1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5.75" customHeight="1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5.75" customHeight="1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5.75" customHeight="1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5.75" customHeight="1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5.75" customHeight="1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5.75" customHeight="1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5.75" customHeight="1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5.75" customHeight="1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5.75" customHeight="1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5.75" customHeight="1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5.75" customHeight="1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5.75" customHeight="1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5.75" customHeight="1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5.75" customHeight="1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5.75" customHeight="1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5.75" customHeight="1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5.75" customHeight="1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5.75" customHeight="1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5.75" customHeight="1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5.75" customHeight="1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5.75" customHeight="1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5.75" customHeight="1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5.75" customHeight="1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5.75" customHeight="1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5.75" customHeight="1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5.75" customHeight="1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5.75" customHeight="1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5.75" customHeight="1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5.75" customHeight="1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5.75" customHeight="1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5.75" customHeight="1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5.75" customHeight="1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5.75" customHeight="1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5.75" customHeight="1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5.75" customHeight="1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5.75" customHeight="1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5.75" customHeight="1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5.75" customHeight="1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5.75" customHeight="1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5.75" customHeight="1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5.75" customHeight="1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5.75" customHeight="1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5.75" customHeight="1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5.75" customHeight="1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5.75" customHeight="1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5.75" customHeight="1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5.75" customHeight="1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5.75" customHeight="1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5.75" customHeight="1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5.75" customHeight="1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5.75" customHeight="1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5.75" customHeight="1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5.75" customHeight="1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5.75" customHeight="1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5.75" customHeight="1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5.75" customHeight="1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5.75" customHeight="1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5.75" customHeight="1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5.75" customHeight="1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5.75" customHeight="1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5.75" customHeight="1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5.75" customHeight="1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5.75" customHeight="1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5.75" customHeight="1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5.75" customHeight="1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5.75" customHeight="1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5.75" customHeight="1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5.75" customHeight="1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5.75" customHeight="1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5.75" customHeight="1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5.75" customHeight="1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5.75" customHeight="1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5.75" customHeight="1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5.75" customHeight="1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5.75" customHeight="1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5.75" customHeight="1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5.75" customHeight="1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5.75" customHeight="1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5.75" customHeight="1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5.75" customHeight="1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5.75" customHeight="1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5.75" customHeight="1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5.75" customHeight="1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5.75" customHeight="1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5.75" customHeight="1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5.75" customHeight="1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5.75" customHeight="1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5.75" customHeight="1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5.75" customHeight="1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5.75" customHeight="1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5.75" customHeight="1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5.75" customHeight="1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5.75" customHeight="1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5.75" customHeight="1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5.75" customHeight="1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5.75" customHeight="1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5.75" customHeight="1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5.75" customHeight="1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5.75" customHeight="1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5.75" customHeight="1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5.75" customHeight="1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5.75" customHeight="1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5.75" customHeight="1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5.75" customHeight="1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5.75" customHeight="1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5.75" customHeight="1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5.75" customHeight="1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5.75" customHeight="1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5.75" customHeight="1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5.75" customHeight="1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5.75" customHeight="1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5.75" customHeight="1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5.75" customHeight="1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5.75" customHeight="1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5.75" customHeight="1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5.75" customHeight="1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5.75" customHeight="1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5.75" customHeight="1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5.75" customHeight="1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5.75" customHeight="1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5.75" customHeight="1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5.75" customHeight="1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5.75" customHeight="1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5.75" customHeight="1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5.75" customHeight="1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5.75" customHeight="1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5.75" customHeight="1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5.75" customHeight="1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5.75" customHeight="1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5.75" customHeight="1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5.75" customHeight="1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5.75" customHeight="1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5.75" customHeight="1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5.75" customHeight="1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5.75" customHeight="1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5.75" customHeight="1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5.75" customHeight="1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5.75" customHeight="1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5.75" customHeight="1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5.75" customHeight="1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5.75" customHeight="1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5.75" customHeight="1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5.75" customHeight="1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5.75" customHeight="1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5.75" customHeight="1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5.75" customHeight="1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5.75" customHeight="1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5.75" customHeight="1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5.75" customHeight="1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5.75" customHeight="1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5.75" customHeight="1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5.75" customHeight="1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5.75" customHeight="1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5.75" customHeight="1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5.75" customHeight="1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5.75" customHeight="1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5.75" customHeight="1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5.75" customHeight="1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5.75" customHeight="1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5.75" customHeight="1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5.75" customHeight="1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5.75" customHeight="1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5.75" customHeight="1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5.75" customHeight="1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5.75" customHeight="1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5.75" customHeight="1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5.75" customHeight="1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5.75" customHeight="1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5.75" customHeight="1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5.75" customHeight="1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5.75" customHeight="1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5.75" customHeight="1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5.75" customHeight="1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5.75" customHeight="1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5.75" customHeight="1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5.75" customHeight="1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5.75" customHeight="1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5.75" customHeight="1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5.75" customHeight="1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5.75" customHeight="1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5.75" customHeight="1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5.75" customHeight="1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5.75" customHeight="1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5.75" customHeight="1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5.75" customHeight="1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5.75" customHeight="1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5.75" customHeight="1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5.75" customHeight="1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5.75" customHeight="1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5.75" customHeight="1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5.75" customHeight="1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5.75" customHeight="1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5.75" customHeight="1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5.75" customHeight="1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5.75" customHeight="1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5.75" customHeight="1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5.75" customHeight="1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5.75" customHeight="1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5.75" customHeight="1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5.75" customHeight="1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5.75" customHeight="1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5.75" customHeight="1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5.75" customHeight="1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5.75" customHeight="1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5.75" customHeight="1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5.75" customHeight="1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5.75" customHeight="1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5.75" customHeight="1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5.75" customHeight="1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5.75" customHeight="1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5.75" customHeight="1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5.75" customHeight="1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5.75" customHeight="1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5.75" customHeight="1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5.75" customHeight="1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5.75" customHeight="1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5.75" customHeight="1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5.75" customHeight="1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5.75" customHeight="1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5.75" customHeight="1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5.75" customHeight="1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5.75" customHeight="1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5.75" customHeight="1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5.75" customHeight="1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5.75" customHeight="1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5.75" customHeight="1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5.75" customHeight="1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5.75" customHeight="1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5.75" customHeight="1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5.75" customHeight="1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5.75" customHeight="1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5.75" customHeight="1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5.75" customHeight="1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5.75" customHeight="1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5.75" customHeight="1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5.75" customHeight="1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5.75" customHeight="1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5.75" customHeight="1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5.75" customHeight="1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5.75" customHeight="1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5.75" customHeight="1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5.75" customHeight="1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5.75" customHeight="1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5.75" customHeight="1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5.75" customHeight="1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5.75" customHeight="1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5.75" customHeight="1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5.75" customHeight="1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5.75" customHeight="1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5.75" customHeight="1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5.75" customHeight="1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5.75" customHeight="1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5.75" customHeight="1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5.75" customHeight="1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5.75" customHeight="1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5.75" customHeight="1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5.75" customHeight="1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5.75" customHeight="1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5.75" customHeight="1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5.75" customHeight="1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5.75" customHeight="1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5.75" customHeight="1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5.75" customHeight="1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5.75" customHeight="1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5.75" customHeight="1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5.75" customHeight="1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5.75" customHeight="1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5.75" customHeight="1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5.75" customHeight="1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5.75" customHeight="1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5.75" customHeight="1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5.75" customHeight="1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5.75" customHeight="1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5.75" customHeight="1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5.75" customHeight="1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5.75" customHeight="1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5.75" customHeight="1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5.75" customHeight="1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5.75" customHeight="1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5.75" customHeight="1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5.75" customHeight="1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5.75" customHeight="1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5.75" customHeight="1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5.75" customHeight="1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5.75" customHeight="1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5.75" customHeight="1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5.75" customHeight="1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5.75" customHeight="1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5.75" customHeight="1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5.75" customHeight="1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5.75" customHeight="1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5.75" customHeight="1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5.75" customHeight="1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5.75" customHeight="1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5.75" customHeight="1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5.75" customHeight="1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5.75" customHeight="1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5.75" customHeight="1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5.75" customHeight="1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5.75" customHeight="1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5.75" customHeight="1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5.75" customHeight="1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5.75" customHeight="1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5.75" customHeight="1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5.75" customHeight="1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5.75" customHeight="1" x14ac:dyDescent="0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5.75" customHeight="1" x14ac:dyDescent="0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5.75" customHeight="1" x14ac:dyDescent="0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5.75" customHeight="1" x14ac:dyDescent="0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5.75" customHeight="1" x14ac:dyDescent="0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5.75" customHeight="1" x14ac:dyDescent="0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5.75" customHeight="1" x14ac:dyDescent="0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5.75" customHeight="1" x14ac:dyDescent="0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5.75" customHeight="1" x14ac:dyDescent="0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5.75" customHeight="1" x14ac:dyDescent="0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5.75" customHeight="1" x14ac:dyDescent="0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5.75" customHeight="1" x14ac:dyDescent="0.2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5.75" customHeight="1" x14ac:dyDescent="0.2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5.75" customHeight="1" x14ac:dyDescent="0.2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5.75" customHeight="1" x14ac:dyDescent="0.2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5.75" customHeight="1" x14ac:dyDescent="0.2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5.75" customHeight="1" x14ac:dyDescent="0.2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5.75" customHeight="1" x14ac:dyDescent="0.2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5.75" customHeight="1" x14ac:dyDescent="0.2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5.75" customHeight="1" x14ac:dyDescent="0.2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5.75" customHeight="1" x14ac:dyDescent="0.2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5.75" customHeight="1" x14ac:dyDescent="0.2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5.75" customHeight="1" x14ac:dyDescent="0.2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5.75" customHeight="1" x14ac:dyDescent="0.2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5.75" customHeight="1" x14ac:dyDescent="0.2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5.75" customHeight="1" x14ac:dyDescent="0.2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5.75" customHeight="1" x14ac:dyDescent="0.2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5.75" customHeight="1" x14ac:dyDescent="0.2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5.75" customHeight="1" x14ac:dyDescent="0.2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5.75" customHeight="1" x14ac:dyDescent="0.2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5.75" customHeight="1" x14ac:dyDescent="0.2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5.75" customHeight="1" x14ac:dyDescent="0.2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5.75" customHeight="1" x14ac:dyDescent="0.2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5.75" customHeight="1" x14ac:dyDescent="0.2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5.75" customHeight="1" x14ac:dyDescent="0.2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5.75" customHeight="1" x14ac:dyDescent="0.2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5.75" customHeight="1" x14ac:dyDescent="0.2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5.75" customHeight="1" x14ac:dyDescent="0.2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5.75" customHeight="1" x14ac:dyDescent="0.2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5.75" customHeight="1" x14ac:dyDescent="0.2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5.75" customHeight="1" x14ac:dyDescent="0.2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5.75" customHeight="1" x14ac:dyDescent="0.2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5.75" customHeight="1" x14ac:dyDescent="0.2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5.75" customHeight="1" x14ac:dyDescent="0.2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5.75" customHeight="1" x14ac:dyDescent="0.2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5.75" customHeight="1" x14ac:dyDescent="0.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5.75" customHeight="1" x14ac:dyDescent="0.2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5.75" customHeight="1" x14ac:dyDescent="0.2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5.75" customHeight="1" x14ac:dyDescent="0.2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5.75" customHeight="1" x14ac:dyDescent="0.2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5.75" customHeight="1" x14ac:dyDescent="0.2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5.75" customHeight="1" x14ac:dyDescent="0.2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5.75" customHeight="1" x14ac:dyDescent="0.2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5.75" customHeight="1" x14ac:dyDescent="0.2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5.75" customHeight="1" x14ac:dyDescent="0.2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5.75" customHeight="1" x14ac:dyDescent="0.2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5.75" customHeight="1" x14ac:dyDescent="0.2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5.75" customHeight="1" x14ac:dyDescent="0.2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5.75" customHeight="1" x14ac:dyDescent="0.2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5.75" customHeight="1" x14ac:dyDescent="0.2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5.75" customHeight="1" x14ac:dyDescent="0.2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5.75" customHeight="1" x14ac:dyDescent="0.2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5.75" customHeight="1" x14ac:dyDescent="0.2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5.75" customHeight="1" x14ac:dyDescent="0.2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5.75" customHeight="1" x14ac:dyDescent="0.2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5.75" customHeight="1" x14ac:dyDescent="0.2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5.75" customHeight="1" x14ac:dyDescent="0.2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5.75" customHeight="1" x14ac:dyDescent="0.2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5.75" customHeight="1" x14ac:dyDescent="0.2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5.75" customHeight="1" x14ac:dyDescent="0.2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5.75" customHeight="1" x14ac:dyDescent="0.2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5.75" customHeight="1" x14ac:dyDescent="0.2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5.75" customHeight="1" x14ac:dyDescent="0.2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5.75" customHeight="1" x14ac:dyDescent="0.2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5.75" customHeight="1" x14ac:dyDescent="0.2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5.75" customHeight="1" x14ac:dyDescent="0.2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5.75" customHeight="1" x14ac:dyDescent="0.2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5.75" customHeight="1" x14ac:dyDescent="0.2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5.75" customHeight="1" x14ac:dyDescent="0.2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5.75" customHeight="1" x14ac:dyDescent="0.2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5.75" customHeight="1" x14ac:dyDescent="0.2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5.75" customHeight="1" x14ac:dyDescent="0.2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5.75" customHeight="1" x14ac:dyDescent="0.2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5.75" customHeight="1" x14ac:dyDescent="0.2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5.75" customHeight="1" x14ac:dyDescent="0.2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5.75" customHeight="1" x14ac:dyDescent="0.2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5.75" customHeight="1" x14ac:dyDescent="0.2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5.75" customHeight="1" x14ac:dyDescent="0.2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5.75" customHeight="1" x14ac:dyDescent="0.2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5.75" customHeight="1" x14ac:dyDescent="0.2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5.75" customHeight="1" x14ac:dyDescent="0.2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5.75" customHeight="1" x14ac:dyDescent="0.2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5.75" customHeight="1" x14ac:dyDescent="0.2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5.75" customHeight="1" x14ac:dyDescent="0.2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5.75" customHeight="1" x14ac:dyDescent="0.2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5.75" customHeight="1" x14ac:dyDescent="0.2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5.75" customHeight="1" x14ac:dyDescent="0.2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5.75" customHeight="1" x14ac:dyDescent="0.2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5.75" customHeight="1" x14ac:dyDescent="0.2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5.75" customHeight="1" x14ac:dyDescent="0.2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5.75" customHeight="1" x14ac:dyDescent="0.2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5.75" customHeight="1" x14ac:dyDescent="0.2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5.75" customHeight="1" x14ac:dyDescent="0.2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5.75" customHeight="1" x14ac:dyDescent="0.2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5.75" customHeight="1" x14ac:dyDescent="0.2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5.75" customHeight="1" x14ac:dyDescent="0.2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5.75" customHeight="1" x14ac:dyDescent="0.2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5.75" customHeight="1" x14ac:dyDescent="0.2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5.75" customHeight="1" x14ac:dyDescent="0.2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5.75" customHeight="1" x14ac:dyDescent="0.2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5.75" customHeight="1" x14ac:dyDescent="0.2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5.75" customHeight="1" x14ac:dyDescent="0.2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5.75" customHeight="1" x14ac:dyDescent="0.2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5.75" customHeight="1" x14ac:dyDescent="0.2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5.75" customHeight="1" x14ac:dyDescent="0.2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5.75" customHeight="1" x14ac:dyDescent="0.2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5.75" customHeight="1" x14ac:dyDescent="0.2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5.75" customHeight="1" x14ac:dyDescent="0.2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5.75" customHeight="1" x14ac:dyDescent="0.2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5.75" customHeight="1" x14ac:dyDescent="0.2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5.75" customHeight="1" x14ac:dyDescent="0.2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5.75" customHeight="1" x14ac:dyDescent="0.2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5.75" customHeight="1" x14ac:dyDescent="0.2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5.75" customHeight="1" x14ac:dyDescent="0.2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5.75" customHeight="1" x14ac:dyDescent="0.2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5.75" customHeight="1" x14ac:dyDescent="0.2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5.75" customHeight="1" x14ac:dyDescent="0.2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5.75" customHeight="1" x14ac:dyDescent="0.2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5.75" customHeight="1" x14ac:dyDescent="0.2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5.75" customHeight="1" x14ac:dyDescent="0.2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5.75" customHeight="1" x14ac:dyDescent="0.2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5.75" customHeight="1" x14ac:dyDescent="0.2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5.75" customHeight="1" x14ac:dyDescent="0.2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5.75" customHeight="1" x14ac:dyDescent="0.2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5.75" customHeight="1" x14ac:dyDescent="0.2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5.75" customHeight="1" x14ac:dyDescent="0.2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5.75" customHeight="1" x14ac:dyDescent="0.2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5.75" customHeight="1" x14ac:dyDescent="0.2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5.75" customHeight="1" x14ac:dyDescent="0.2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5.75" customHeight="1" x14ac:dyDescent="0.2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5.75" customHeight="1" x14ac:dyDescent="0.2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5.75" customHeight="1" x14ac:dyDescent="0.2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5.75" customHeight="1" x14ac:dyDescent="0.2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5.75" customHeight="1" x14ac:dyDescent="0.2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5.75" customHeight="1" x14ac:dyDescent="0.2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5.75" customHeight="1" x14ac:dyDescent="0.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5.75" customHeight="1" x14ac:dyDescent="0.2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5.75" customHeight="1" x14ac:dyDescent="0.2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5.75" customHeight="1" x14ac:dyDescent="0.2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5.75" customHeight="1" x14ac:dyDescent="0.2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5.75" customHeight="1" x14ac:dyDescent="0.2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5.75" customHeight="1" x14ac:dyDescent="0.2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5.75" customHeight="1" x14ac:dyDescent="0.2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5.75" customHeight="1" x14ac:dyDescent="0.2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5.75" customHeight="1" x14ac:dyDescent="0.2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5.75" customHeight="1" x14ac:dyDescent="0.2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5.75" customHeight="1" x14ac:dyDescent="0.2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5.75" customHeight="1" x14ac:dyDescent="0.2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5.75" customHeight="1" x14ac:dyDescent="0.2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5.75" customHeight="1" x14ac:dyDescent="0.2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5.75" customHeight="1" x14ac:dyDescent="0.2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5.75" customHeight="1" x14ac:dyDescent="0.2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5.75" customHeight="1" x14ac:dyDescent="0.2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5.75" customHeight="1" x14ac:dyDescent="0.2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5.75" customHeight="1" x14ac:dyDescent="0.2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5.75" customHeight="1" x14ac:dyDescent="0.2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5.75" customHeight="1" x14ac:dyDescent="0.2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5.75" customHeight="1" x14ac:dyDescent="0.2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5.75" customHeight="1" x14ac:dyDescent="0.2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5.75" customHeight="1" x14ac:dyDescent="0.2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5.75" customHeight="1" x14ac:dyDescent="0.2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5.75" customHeight="1" x14ac:dyDescent="0.2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5.75" customHeight="1" x14ac:dyDescent="0.2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5.75" customHeight="1" x14ac:dyDescent="0.2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5.75" customHeight="1" x14ac:dyDescent="0.2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5.75" customHeight="1" x14ac:dyDescent="0.2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5.75" customHeight="1" x14ac:dyDescent="0.2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5.75" customHeight="1" x14ac:dyDescent="0.2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5.75" customHeight="1" x14ac:dyDescent="0.2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5.75" customHeight="1" x14ac:dyDescent="0.2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5.75" customHeight="1" x14ac:dyDescent="0.2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5.75" customHeight="1" x14ac:dyDescent="0.2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5.75" customHeight="1" x14ac:dyDescent="0.2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5.75" customHeight="1" x14ac:dyDescent="0.2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5.75" customHeight="1" x14ac:dyDescent="0.2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5.75" customHeight="1" x14ac:dyDescent="0.2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5.75" customHeight="1" x14ac:dyDescent="0.2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5.75" customHeight="1" x14ac:dyDescent="0.2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5.75" customHeight="1" x14ac:dyDescent="0.2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5.75" customHeight="1" x14ac:dyDescent="0.2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5.75" customHeight="1" x14ac:dyDescent="0.2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5.75" customHeight="1" x14ac:dyDescent="0.2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5.75" customHeight="1" x14ac:dyDescent="0.2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5.75" customHeight="1" x14ac:dyDescent="0.2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5.75" customHeight="1" x14ac:dyDescent="0.2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5.75" customHeight="1" x14ac:dyDescent="0.2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5.75" customHeight="1" x14ac:dyDescent="0.2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5.75" customHeight="1" x14ac:dyDescent="0.2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5.75" customHeight="1" x14ac:dyDescent="0.2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5.75" customHeight="1" x14ac:dyDescent="0.2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5.75" customHeight="1" x14ac:dyDescent="0.2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5.75" customHeight="1" x14ac:dyDescent="0.2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5.75" customHeight="1" x14ac:dyDescent="0.2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5.75" customHeight="1" x14ac:dyDescent="0.2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5.75" customHeight="1" x14ac:dyDescent="0.2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5.75" customHeight="1" x14ac:dyDescent="0.2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5.75" customHeight="1" x14ac:dyDescent="0.2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5.75" customHeight="1" x14ac:dyDescent="0.2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5.75" customHeight="1" x14ac:dyDescent="0.2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5.75" customHeight="1" x14ac:dyDescent="0.2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5.75" customHeight="1" x14ac:dyDescent="0.2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5.75" customHeight="1" x14ac:dyDescent="0.2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5.75" customHeight="1" x14ac:dyDescent="0.2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5.75" customHeight="1" x14ac:dyDescent="0.2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5.75" customHeight="1" x14ac:dyDescent="0.2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5.75" customHeight="1" x14ac:dyDescent="0.2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5.75" customHeight="1" x14ac:dyDescent="0.2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5.75" customHeight="1" x14ac:dyDescent="0.2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5.75" customHeight="1" x14ac:dyDescent="0.2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5.75" customHeight="1" x14ac:dyDescent="0.2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5.75" customHeight="1" x14ac:dyDescent="0.2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5">
    <mergeCell ref="B2:E6"/>
    <mergeCell ref="C16:E16"/>
    <mergeCell ref="B31:E31"/>
    <mergeCell ref="B32:E32"/>
    <mergeCell ref="B33:E33"/>
  </mergeCells>
  <printOptions horizontalCentered="1"/>
  <pageMargins left="0.7" right="0.7" top="0.75" bottom="0.75" header="0.3" footer="0.3"/>
  <pageSetup paperSize="9" scale="46" fitToHeight="0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82585F-3C0F-4D9A-8715-126344E5BA12}">
  <sheetPr>
    <tabColor rgb="FFBFBFBF"/>
    <outlinePr summaryBelow="0"/>
  </sheetPr>
  <dimension ref="A1:AL535"/>
  <sheetViews>
    <sheetView topLeftCell="A15" zoomScale="70" zoomScaleNormal="70" workbookViewId="0">
      <pane ySplit="600" activePane="bottomLeft"/>
      <selection activeCell="Q21" sqref="Q21:Q22"/>
      <selection pane="bottomLeft" activeCell="O43" sqref="O43"/>
    </sheetView>
  </sheetViews>
  <sheetFormatPr defaultColWidth="12.59765625" defaultRowHeight="15" customHeight="1" x14ac:dyDescent="0.25"/>
  <cols>
    <col min="1" max="1" width="7.296875" style="212" customWidth="1"/>
    <col min="2" max="2" width="10.59765625" style="212" customWidth="1"/>
    <col min="3" max="3" width="15.296875" style="212" hidden="1" customWidth="1"/>
    <col min="4" max="4" width="15" style="212" hidden="1" customWidth="1"/>
    <col min="5" max="5" width="99.5" style="212" customWidth="1"/>
    <col min="6" max="6" width="8.5" style="212" customWidth="1"/>
    <col min="7" max="7" width="11.3984375" style="213" customWidth="1"/>
    <col min="8" max="8" width="17.3984375" style="212" customWidth="1"/>
    <col min="9" max="9" width="17.3984375" style="212" hidden="1" customWidth="1"/>
    <col min="10" max="10" width="14.69921875" style="212" customWidth="1"/>
    <col min="11" max="11" width="14.69921875" style="212" hidden="1" customWidth="1"/>
    <col min="12" max="15" width="14.69921875" style="212" customWidth="1"/>
    <col min="16" max="16" width="16.19921875" style="212" customWidth="1"/>
    <col min="17" max="17" width="14.5" style="212" customWidth="1"/>
    <col min="18" max="18" width="16" style="212" customWidth="1"/>
    <col min="19" max="19" width="14.59765625" style="212" customWidth="1"/>
    <col min="20" max="21" width="15.09765625" style="212" customWidth="1"/>
    <col min="22" max="22" width="7.59765625" style="212" customWidth="1"/>
    <col min="23" max="23" width="17.8984375" style="212" customWidth="1"/>
    <col min="24" max="36" width="7.59765625" style="212" customWidth="1"/>
    <col min="37" max="16384" width="12.59765625" style="212"/>
  </cols>
  <sheetData>
    <row r="1" spans="1:38" ht="18.75" customHeight="1" x14ac:dyDescent="0.25">
      <c r="A1" s="94"/>
      <c r="B1" s="95"/>
      <c r="C1" s="96"/>
      <c r="D1" s="97"/>
      <c r="E1" s="97"/>
      <c r="F1" s="98"/>
      <c r="G1" s="203"/>
      <c r="H1" s="98"/>
      <c r="I1" s="98"/>
      <c r="J1" s="100"/>
      <c r="K1" s="100"/>
      <c r="L1" s="100"/>
      <c r="M1" s="100"/>
      <c r="N1" s="48"/>
      <c r="O1" s="99"/>
      <c r="P1" s="4"/>
      <c r="Q1" s="4"/>
      <c r="R1" s="4"/>
      <c r="S1" s="4"/>
      <c r="T1" s="101"/>
      <c r="U1" s="48"/>
      <c r="V1" s="48"/>
      <c r="W1" s="48"/>
      <c r="X1" s="48"/>
      <c r="Y1" s="48"/>
      <c r="Z1" s="48"/>
      <c r="AA1" s="48"/>
      <c r="AB1" s="48"/>
      <c r="AC1" s="48"/>
      <c r="AD1" s="48"/>
      <c r="AE1" s="48"/>
      <c r="AF1" s="48"/>
      <c r="AG1" s="48"/>
      <c r="AH1" s="48"/>
      <c r="AI1" s="48"/>
      <c r="AJ1" s="48"/>
      <c r="AK1" s="44"/>
      <c r="AL1" s="44"/>
    </row>
    <row r="2" spans="1:38" ht="18.75" customHeight="1" x14ac:dyDescent="0.25">
      <c r="A2" s="94"/>
      <c r="B2" s="360" t="s">
        <v>26</v>
      </c>
      <c r="C2" s="361"/>
      <c r="D2" s="361"/>
      <c r="E2" s="361"/>
      <c r="F2" s="361"/>
      <c r="G2" s="361"/>
      <c r="H2" s="361"/>
      <c r="I2" s="362"/>
      <c r="J2" s="361"/>
      <c r="K2" s="362"/>
      <c r="L2" s="361"/>
      <c r="M2" s="361"/>
      <c r="N2" s="361"/>
      <c r="O2" s="361"/>
      <c r="P2" s="361"/>
      <c r="Q2" s="363"/>
      <c r="R2" s="99"/>
      <c r="S2" s="4"/>
      <c r="T2" s="4"/>
      <c r="U2" s="4"/>
      <c r="V2" s="4"/>
      <c r="W2" s="101"/>
      <c r="X2" s="48"/>
      <c r="Y2" s="48"/>
      <c r="Z2" s="48"/>
      <c r="AA2" s="48"/>
      <c r="AB2" s="48"/>
      <c r="AC2" s="48"/>
      <c r="AD2" s="48"/>
      <c r="AE2" s="48"/>
      <c r="AF2" s="48"/>
      <c r="AG2" s="48"/>
      <c r="AH2" s="48"/>
      <c r="AI2" s="48"/>
      <c r="AJ2" s="48"/>
      <c r="AK2" s="48"/>
      <c r="AL2" s="48"/>
    </row>
    <row r="3" spans="1:38" ht="18.75" customHeight="1" x14ac:dyDescent="0.25">
      <c r="A3" s="94"/>
      <c r="B3" s="364"/>
      <c r="C3" s="365"/>
      <c r="D3" s="365"/>
      <c r="E3" s="365"/>
      <c r="F3" s="365"/>
      <c r="G3" s="365"/>
      <c r="H3" s="365"/>
      <c r="I3" s="365"/>
      <c r="J3" s="365"/>
      <c r="K3" s="365"/>
      <c r="L3" s="365"/>
      <c r="M3" s="365"/>
      <c r="N3" s="365"/>
      <c r="O3" s="365"/>
      <c r="P3" s="365"/>
      <c r="Q3" s="366"/>
      <c r="R3" s="99"/>
      <c r="S3" s="4"/>
      <c r="T3" s="4"/>
      <c r="U3" s="4"/>
      <c r="V3" s="4"/>
      <c r="W3" s="101"/>
      <c r="X3" s="48"/>
      <c r="Y3" s="48"/>
      <c r="Z3" s="48"/>
      <c r="AA3" s="48"/>
      <c r="AB3" s="48"/>
      <c r="AC3" s="48"/>
      <c r="AD3" s="48"/>
      <c r="AE3" s="48"/>
      <c r="AF3" s="48"/>
      <c r="AG3" s="48"/>
      <c r="AH3" s="48"/>
      <c r="AI3" s="48"/>
      <c r="AJ3" s="48"/>
      <c r="AK3" s="48"/>
      <c r="AL3" s="48"/>
    </row>
    <row r="4" spans="1:38" ht="18.75" customHeight="1" x14ac:dyDescent="0.25">
      <c r="A4" s="94"/>
      <c r="B4" s="364"/>
      <c r="C4" s="365"/>
      <c r="D4" s="365"/>
      <c r="E4" s="365"/>
      <c r="F4" s="365"/>
      <c r="G4" s="365"/>
      <c r="H4" s="365"/>
      <c r="I4" s="365"/>
      <c r="J4" s="365"/>
      <c r="K4" s="365"/>
      <c r="L4" s="365"/>
      <c r="M4" s="365"/>
      <c r="N4" s="365"/>
      <c r="O4" s="365"/>
      <c r="P4" s="365"/>
      <c r="Q4" s="366"/>
      <c r="R4" s="99"/>
      <c r="S4" s="4"/>
      <c r="T4" s="4"/>
      <c r="U4" s="4"/>
      <c r="V4" s="4"/>
      <c r="W4" s="101"/>
      <c r="X4" s="48"/>
      <c r="Y4" s="48"/>
      <c r="Z4" s="48"/>
      <c r="AA4" s="48"/>
      <c r="AB4" s="48"/>
      <c r="AC4" s="48"/>
      <c r="AD4" s="48"/>
      <c r="AE4" s="48"/>
      <c r="AF4" s="48"/>
      <c r="AG4" s="48"/>
      <c r="AH4" s="48"/>
      <c r="AI4" s="48"/>
      <c r="AJ4" s="48"/>
      <c r="AK4" s="48"/>
      <c r="AL4" s="48"/>
    </row>
    <row r="5" spans="1:38" ht="18.75" customHeight="1" x14ac:dyDescent="0.25">
      <c r="A5" s="94"/>
      <c r="B5" s="364"/>
      <c r="C5" s="365"/>
      <c r="D5" s="365"/>
      <c r="E5" s="365"/>
      <c r="F5" s="365"/>
      <c r="G5" s="365"/>
      <c r="H5" s="365"/>
      <c r="I5" s="365"/>
      <c r="J5" s="365"/>
      <c r="K5" s="365"/>
      <c r="L5" s="365"/>
      <c r="M5" s="365"/>
      <c r="N5" s="365"/>
      <c r="O5" s="365"/>
      <c r="P5" s="365"/>
      <c r="Q5" s="366"/>
      <c r="R5" s="99"/>
      <c r="S5" s="4"/>
      <c r="T5" s="4"/>
      <c r="U5" s="4"/>
      <c r="V5" s="4"/>
      <c r="W5" s="101"/>
      <c r="X5" s="48"/>
      <c r="Y5" s="48"/>
      <c r="Z5" s="48"/>
      <c r="AA5" s="48"/>
      <c r="AB5" s="48"/>
      <c r="AC5" s="48"/>
      <c r="AD5" s="48"/>
      <c r="AE5" s="48"/>
      <c r="AF5" s="48"/>
      <c r="AG5" s="48"/>
      <c r="AH5" s="48"/>
      <c r="AI5" s="48"/>
      <c r="AJ5" s="48"/>
      <c r="AK5" s="48"/>
      <c r="AL5" s="48"/>
    </row>
    <row r="6" spans="1:38" ht="18.75" customHeight="1" x14ac:dyDescent="0.25">
      <c r="A6" s="94"/>
      <c r="B6" s="367"/>
      <c r="C6" s="368"/>
      <c r="D6" s="368"/>
      <c r="E6" s="368"/>
      <c r="F6" s="368"/>
      <c r="G6" s="368"/>
      <c r="H6" s="368"/>
      <c r="I6" s="369"/>
      <c r="J6" s="368"/>
      <c r="K6" s="369"/>
      <c r="L6" s="368"/>
      <c r="M6" s="368"/>
      <c r="N6" s="368"/>
      <c r="O6" s="368"/>
      <c r="P6" s="368"/>
      <c r="Q6" s="370"/>
      <c r="R6" s="99"/>
      <c r="S6" s="4"/>
      <c r="T6" s="4"/>
      <c r="U6" s="4"/>
      <c r="V6" s="4"/>
      <c r="W6" s="101"/>
      <c r="X6" s="48"/>
      <c r="Y6" s="48"/>
      <c r="Z6" s="48"/>
      <c r="AA6" s="48"/>
      <c r="AB6" s="48"/>
      <c r="AC6" s="48"/>
      <c r="AD6" s="48"/>
      <c r="AE6" s="48"/>
      <c r="AF6" s="48"/>
      <c r="AG6" s="48"/>
      <c r="AH6" s="48"/>
      <c r="AI6" s="48"/>
      <c r="AJ6" s="48"/>
      <c r="AK6" s="48"/>
      <c r="AL6" s="48"/>
    </row>
    <row r="7" spans="1:38" ht="15" customHeight="1" x14ac:dyDescent="0.25">
      <c r="A7" s="94"/>
      <c r="B7" s="95"/>
      <c r="C7" s="96"/>
      <c r="D7" s="4"/>
      <c r="E7" s="97"/>
      <c r="F7" s="4"/>
      <c r="G7" s="203"/>
      <c r="H7" s="4"/>
      <c r="I7" s="4"/>
      <c r="J7" s="4"/>
      <c r="K7" s="4"/>
      <c r="L7" s="99"/>
      <c r="M7" s="98"/>
      <c r="N7" s="48"/>
      <c r="O7" s="48"/>
      <c r="P7" s="48"/>
      <c r="Q7" s="48"/>
      <c r="R7" s="99"/>
      <c r="S7" s="4"/>
      <c r="T7" s="4"/>
      <c r="U7" s="4"/>
      <c r="V7" s="4"/>
      <c r="W7" s="101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  <c r="AK7" s="48"/>
      <c r="AL7" s="48"/>
    </row>
    <row r="8" spans="1:38" ht="15" customHeight="1" x14ac:dyDescent="0.25">
      <c r="A8" s="94"/>
      <c r="B8" s="102" t="str">
        <f>'DADOS GERAIS'!$B$8</f>
        <v>Secretaria de Atenção Especializada à Saúde</v>
      </c>
      <c r="C8" s="103"/>
      <c r="D8" s="6"/>
      <c r="E8" s="104"/>
      <c r="F8" s="6"/>
      <c r="G8" s="204"/>
      <c r="H8" s="6"/>
      <c r="I8" s="201"/>
      <c r="J8" s="6"/>
      <c r="K8" s="201"/>
      <c r="L8" s="105"/>
      <c r="M8" s="6" t="str">
        <f>RESUMO!D8</f>
        <v>BDI Geral:</v>
      </c>
      <c r="N8" s="106"/>
      <c r="O8" s="6" t="str">
        <f>RESUMO!E8</f>
        <v>Encargo Social Mensalista:</v>
      </c>
      <c r="P8" s="106"/>
      <c r="Q8" s="53" t="str">
        <f>'DADOS GERAIS'!$B$22</f>
        <v>Data:</v>
      </c>
      <c r="R8" s="99"/>
      <c r="S8" s="4"/>
      <c r="T8" s="4"/>
      <c r="U8" s="4"/>
      <c r="V8" s="4"/>
      <c r="W8" s="101"/>
      <c r="X8" s="48"/>
      <c r="Y8" s="48"/>
      <c r="Z8" s="48"/>
      <c r="AA8" s="48"/>
      <c r="AB8" s="48"/>
      <c r="AC8" s="48"/>
      <c r="AD8" s="48"/>
      <c r="AE8" s="48"/>
      <c r="AF8" s="48"/>
      <c r="AG8" s="48"/>
      <c r="AH8" s="48"/>
      <c r="AI8" s="48"/>
      <c r="AJ8" s="48"/>
      <c r="AK8" s="48"/>
      <c r="AL8" s="48"/>
    </row>
    <row r="9" spans="1:38" ht="15" customHeight="1" x14ac:dyDescent="0.25">
      <c r="A9" s="94"/>
      <c r="B9" s="54" t="str">
        <f>'DADOS GERAIS'!$B$9</f>
        <v>Unidade Básica de Saúde Porte 2 - Área Construída: 500,17m²</v>
      </c>
      <c r="C9" s="107"/>
      <c r="D9" s="9"/>
      <c r="E9" s="108"/>
      <c r="F9" s="44"/>
      <c r="G9" s="205"/>
      <c r="H9" s="44"/>
      <c r="I9" s="44"/>
      <c r="J9" s="44"/>
      <c r="K9" s="44"/>
      <c r="L9" s="45"/>
      <c r="M9" s="109">
        <f>RESUMO!D9</f>
        <v>0.26869999999999999</v>
      </c>
      <c r="N9" s="108"/>
      <c r="O9" s="109">
        <f>RESUMO!E9</f>
        <v>0.47739999999999999</v>
      </c>
      <c r="P9" s="108"/>
      <c r="Q9" s="57" t="str">
        <f>'DADOS GERAIS'!$C$22</f>
        <v>02/2025</v>
      </c>
      <c r="R9" s="99"/>
      <c r="S9" s="4"/>
      <c r="T9" s="4"/>
      <c r="U9" s="4"/>
      <c r="V9" s="4"/>
      <c r="W9" s="101"/>
      <c r="X9" s="48"/>
      <c r="Y9" s="48"/>
      <c r="Z9" s="48"/>
      <c r="AA9" s="48"/>
      <c r="AB9" s="48"/>
      <c r="AC9" s="48"/>
      <c r="AD9" s="48"/>
      <c r="AE9" s="48"/>
      <c r="AF9" s="48"/>
      <c r="AG9" s="48"/>
      <c r="AH9" s="48"/>
      <c r="AI9" s="48"/>
      <c r="AJ9" s="48"/>
      <c r="AK9" s="48"/>
      <c r="AL9" s="48"/>
    </row>
    <row r="10" spans="1:38" ht="15" customHeight="1" x14ac:dyDescent="0.25">
      <c r="A10" s="94"/>
      <c r="B10" s="54"/>
      <c r="C10" s="107"/>
      <c r="D10" s="9"/>
      <c r="E10" s="108"/>
      <c r="F10" s="9"/>
      <c r="G10" s="206"/>
      <c r="H10" s="9"/>
      <c r="I10" s="9"/>
      <c r="J10" s="9"/>
      <c r="K10" s="9"/>
      <c r="L10" s="110"/>
      <c r="M10" s="9"/>
      <c r="N10" s="44"/>
      <c r="O10" s="44"/>
      <c r="P10" s="44"/>
      <c r="Q10" s="111"/>
      <c r="R10" s="99"/>
      <c r="S10" s="4"/>
      <c r="T10" s="4"/>
      <c r="U10" s="4"/>
      <c r="V10" s="4"/>
      <c r="W10" s="101"/>
      <c r="X10" s="48"/>
      <c r="Y10" s="48"/>
      <c r="Z10" s="48"/>
      <c r="AA10" s="48"/>
      <c r="AB10" s="48"/>
      <c r="AC10" s="48"/>
      <c r="AD10" s="48"/>
      <c r="AE10" s="48"/>
      <c r="AF10" s="48"/>
      <c r="AG10" s="48"/>
      <c r="AH10" s="48"/>
      <c r="AI10" s="48"/>
      <c r="AJ10" s="48"/>
      <c r="AK10" s="48"/>
      <c r="AL10" s="48"/>
    </row>
    <row r="11" spans="1:38" ht="15" customHeight="1" x14ac:dyDescent="0.25">
      <c r="A11" s="94"/>
      <c r="B11" s="60" t="str">
        <f>RESUMO!B11</f>
        <v>Bancos:</v>
      </c>
      <c r="C11" s="107"/>
      <c r="D11" s="9"/>
      <c r="E11" s="108"/>
      <c r="F11" s="9"/>
      <c r="G11" s="206"/>
      <c r="H11" s="9"/>
      <c r="I11" s="9"/>
      <c r="J11" s="9"/>
      <c r="K11" s="9"/>
      <c r="L11" s="110"/>
      <c r="M11" s="9" t="str">
        <f>RESUMO!D11</f>
        <v>BDI Equipamentos:</v>
      </c>
      <c r="N11" s="44"/>
      <c r="O11" s="112" t="str">
        <f>RESUMO!E11</f>
        <v>Encargo Social Horista:</v>
      </c>
      <c r="P11" s="44"/>
      <c r="Q11" s="59" t="str">
        <f>'DADOS GERAIS'!$B$23</f>
        <v>Revisão:</v>
      </c>
      <c r="R11" s="99"/>
      <c r="S11" s="4"/>
      <c r="T11" s="4"/>
      <c r="U11" s="4"/>
      <c r="V11" s="4"/>
      <c r="W11" s="101"/>
      <c r="X11" s="48"/>
      <c r="Y11" s="48"/>
      <c r="Z11" s="48"/>
      <c r="AA11" s="48"/>
      <c r="AB11" s="48"/>
      <c r="AC11" s="48"/>
      <c r="AD11" s="48"/>
      <c r="AE11" s="48"/>
      <c r="AF11" s="48"/>
      <c r="AG11" s="48"/>
      <c r="AH11" s="48"/>
      <c r="AI11" s="48"/>
      <c r="AJ11" s="48"/>
      <c r="AK11" s="48"/>
      <c r="AL11" s="48"/>
    </row>
    <row r="12" spans="1:38" ht="15" customHeight="1" x14ac:dyDescent="0.25">
      <c r="A12" s="94"/>
      <c r="B12" s="113" t="str">
        <f>'DADOS GERAIS'!$B$12</f>
        <v>SINAPI (12/2024) - CPOS/CDHU (09/2024) - SBC (12/2024) - ORSE (12/2024) - IOPES (03/2024) - EMOP (12/2024) - SEINFRA 027 (DESONERADO)</v>
      </c>
      <c r="C12" s="107"/>
      <c r="D12" s="9"/>
      <c r="E12" s="108"/>
      <c r="F12" s="9"/>
      <c r="G12" s="206"/>
      <c r="H12" s="9"/>
      <c r="I12" s="9"/>
      <c r="J12" s="9"/>
      <c r="K12" s="9"/>
      <c r="L12" s="110"/>
      <c r="M12" s="109">
        <f>RESUMO!D12</f>
        <v>0.19070000000000001</v>
      </c>
      <c r="N12" s="114"/>
      <c r="O12" s="109">
        <f>RESUMO!E12</f>
        <v>0.85799999999999998</v>
      </c>
      <c r="P12" s="114"/>
      <c r="Q12" s="115" t="str">
        <f>'DADOS GERAIS'!$C$23</f>
        <v>01</v>
      </c>
      <c r="R12" s="99"/>
      <c r="S12" s="4"/>
      <c r="T12" s="4"/>
      <c r="U12" s="4"/>
      <c r="V12" s="4"/>
      <c r="W12" s="101"/>
      <c r="X12" s="48"/>
      <c r="Y12" s="48"/>
      <c r="Z12" s="48"/>
      <c r="AA12" s="48"/>
      <c r="AB12" s="48"/>
      <c r="AC12" s="48"/>
      <c r="AD12" s="48"/>
      <c r="AE12" s="48"/>
      <c r="AF12" s="48"/>
      <c r="AG12" s="48"/>
      <c r="AH12" s="48"/>
      <c r="AI12" s="48"/>
      <c r="AJ12" s="48"/>
      <c r="AK12" s="48"/>
      <c r="AL12" s="48"/>
    </row>
    <row r="13" spans="1:38" ht="15" customHeight="1" x14ac:dyDescent="0.25">
      <c r="A13" s="94"/>
      <c r="B13" s="116"/>
      <c r="C13" s="117"/>
      <c r="D13" s="14"/>
      <c r="E13" s="118"/>
      <c r="F13" s="14"/>
      <c r="G13" s="207"/>
      <c r="H13" s="14"/>
      <c r="I13" s="202"/>
      <c r="J13" s="14"/>
      <c r="K13" s="202"/>
      <c r="L13" s="119"/>
      <c r="M13" s="14"/>
      <c r="N13" s="120"/>
      <c r="O13" s="120"/>
      <c r="P13" s="120"/>
      <c r="Q13" s="121"/>
      <c r="R13" s="122"/>
      <c r="S13" s="123"/>
      <c r="T13" s="123"/>
      <c r="U13" s="123"/>
      <c r="V13" s="123"/>
      <c r="W13" s="124"/>
      <c r="X13" s="48"/>
      <c r="Y13" s="48"/>
      <c r="Z13" s="48"/>
      <c r="AA13" s="48"/>
      <c r="AB13" s="48"/>
      <c r="AC13" s="48"/>
      <c r="AD13" s="48"/>
      <c r="AE13" s="48"/>
      <c r="AF13" s="48"/>
      <c r="AG13" s="48"/>
      <c r="AH13" s="48"/>
      <c r="AI13" s="48"/>
      <c r="AJ13" s="48"/>
      <c r="AK13" s="48"/>
      <c r="AL13" s="48"/>
    </row>
    <row r="14" spans="1:38" ht="15" customHeight="1" x14ac:dyDescent="0.25">
      <c r="A14" s="94"/>
      <c r="B14" s="95"/>
      <c r="C14" s="125"/>
      <c r="D14" s="48"/>
      <c r="E14" s="126"/>
      <c r="F14" s="48"/>
      <c r="G14" s="208"/>
      <c r="H14" s="48"/>
      <c r="I14" s="48"/>
      <c r="J14" s="48"/>
      <c r="K14" s="48"/>
      <c r="L14" s="49"/>
      <c r="M14" s="4"/>
      <c r="N14" s="48"/>
      <c r="O14" s="48"/>
      <c r="P14" s="48"/>
      <c r="Q14" s="48"/>
      <c r="R14" s="99"/>
      <c r="S14" s="4"/>
      <c r="T14" s="4"/>
      <c r="U14" s="4"/>
      <c r="V14" s="4"/>
      <c r="W14" s="101"/>
      <c r="X14" s="48"/>
      <c r="Y14" s="48"/>
      <c r="Z14" s="48"/>
      <c r="AA14" s="48"/>
      <c r="AB14" s="48"/>
      <c r="AC14" s="48"/>
      <c r="AD14" s="48"/>
      <c r="AE14" s="48"/>
      <c r="AF14" s="48"/>
      <c r="AG14" s="48"/>
      <c r="AH14" s="48"/>
      <c r="AI14" s="48"/>
      <c r="AJ14" s="48"/>
      <c r="AK14" s="48"/>
      <c r="AL14" s="48"/>
    </row>
    <row r="15" spans="1:38" ht="15" customHeight="1" x14ac:dyDescent="0.25">
      <c r="A15" s="127"/>
      <c r="B15" s="371" t="s">
        <v>27</v>
      </c>
      <c r="C15" s="373" t="s">
        <v>28</v>
      </c>
      <c r="D15" s="371" t="s">
        <v>29</v>
      </c>
      <c r="E15" s="371" t="s">
        <v>30</v>
      </c>
      <c r="F15" s="374" t="s">
        <v>31</v>
      </c>
      <c r="G15" s="375" t="s">
        <v>32</v>
      </c>
      <c r="H15" s="373" t="s">
        <v>33</v>
      </c>
      <c r="I15" s="381" t="s">
        <v>1643</v>
      </c>
      <c r="J15" s="377" t="s">
        <v>34</v>
      </c>
      <c r="K15" s="378"/>
      <c r="L15" s="379"/>
      <c r="M15" s="380"/>
      <c r="N15" s="377" t="s">
        <v>35</v>
      </c>
      <c r="O15" s="379"/>
      <c r="P15" s="380"/>
      <c r="Q15" s="373" t="s">
        <v>36</v>
      </c>
      <c r="R15" s="96"/>
      <c r="S15" s="96"/>
      <c r="T15" s="124"/>
      <c r="U15" s="125"/>
      <c r="V15" s="125"/>
      <c r="W15" s="125"/>
      <c r="X15" s="125"/>
      <c r="Y15" s="125"/>
      <c r="Z15" s="125"/>
      <c r="AA15" s="125"/>
      <c r="AB15" s="125"/>
      <c r="AC15" s="125"/>
      <c r="AD15" s="125"/>
      <c r="AE15" s="125"/>
      <c r="AF15" s="125"/>
      <c r="AG15" s="125"/>
      <c r="AH15" s="125"/>
      <c r="AI15" s="125"/>
      <c r="AJ15" s="125"/>
      <c r="AK15" s="44"/>
      <c r="AL15" s="44"/>
    </row>
    <row r="16" spans="1:38" x14ac:dyDescent="0.25">
      <c r="A16" s="127"/>
      <c r="B16" s="372"/>
      <c r="C16" s="372"/>
      <c r="D16" s="372"/>
      <c r="E16" s="372"/>
      <c r="F16" s="372"/>
      <c r="G16" s="376"/>
      <c r="H16" s="372"/>
      <c r="I16" s="382"/>
      <c r="J16" s="128" t="s">
        <v>37</v>
      </c>
      <c r="K16" s="289" t="s">
        <v>1644</v>
      </c>
      <c r="L16" s="128" t="s">
        <v>38</v>
      </c>
      <c r="M16" s="128" t="s">
        <v>35</v>
      </c>
      <c r="N16" s="128" t="s">
        <v>37</v>
      </c>
      <c r="O16" s="128" t="s">
        <v>38</v>
      </c>
      <c r="P16" s="128" t="s">
        <v>35</v>
      </c>
      <c r="Q16" s="372"/>
      <c r="R16" s="96"/>
      <c r="S16" s="96"/>
      <c r="T16" s="124"/>
      <c r="U16" s="125"/>
      <c r="V16" s="125"/>
      <c r="W16" s="125"/>
      <c r="X16" s="125"/>
      <c r="Y16" s="125"/>
      <c r="Z16" s="125"/>
      <c r="AA16" s="125"/>
      <c r="AB16" s="125"/>
      <c r="AC16" s="125"/>
      <c r="AD16" s="125"/>
      <c r="AE16" s="125"/>
      <c r="AF16" s="125"/>
      <c r="AG16" s="125"/>
      <c r="AH16" s="125"/>
      <c r="AI16" s="125"/>
      <c r="AJ16" s="125"/>
      <c r="AK16" s="44"/>
      <c r="AL16" s="44"/>
    </row>
    <row r="17" spans="1:38" ht="15.6" x14ac:dyDescent="0.25">
      <c r="A17" s="94"/>
      <c r="B17" s="129"/>
      <c r="C17" s="130"/>
      <c r="D17" s="130"/>
      <c r="E17" s="131"/>
      <c r="F17" s="132"/>
      <c r="G17" s="209"/>
      <c r="H17" s="130"/>
      <c r="I17" s="288"/>
      <c r="J17" s="133"/>
      <c r="K17" s="290"/>
      <c r="L17" s="133"/>
      <c r="M17" s="133"/>
      <c r="N17" s="134"/>
      <c r="O17" s="122"/>
      <c r="P17" s="96"/>
      <c r="Q17" s="96"/>
      <c r="R17" s="96"/>
      <c r="S17" s="96"/>
      <c r="T17" s="101"/>
      <c r="U17" s="48"/>
      <c r="V17" s="48"/>
      <c r="W17" s="48"/>
      <c r="X17" s="48"/>
      <c r="Y17" s="48"/>
      <c r="Z17" s="48"/>
      <c r="AA17" s="48"/>
      <c r="AB17" s="48"/>
      <c r="AC17" s="48"/>
      <c r="AD17" s="48"/>
      <c r="AE17" s="48"/>
      <c r="AF17" s="48"/>
      <c r="AG17" s="48"/>
      <c r="AH17" s="48"/>
      <c r="AI17" s="48"/>
      <c r="AJ17" s="48"/>
      <c r="AK17" s="44"/>
      <c r="AL17" s="44"/>
    </row>
    <row r="18" spans="1:38" ht="15" customHeight="1" x14ac:dyDescent="0.25">
      <c r="A18" s="94"/>
      <c r="B18" s="261">
        <v>1</v>
      </c>
      <c r="C18" s="261"/>
      <c r="D18" s="261"/>
      <c r="E18" s="261" t="s">
        <v>501</v>
      </c>
      <c r="F18" s="261"/>
      <c r="G18" s="276"/>
      <c r="H18" s="262"/>
      <c r="I18" s="286"/>
      <c r="J18" s="261"/>
      <c r="K18" s="291"/>
      <c r="L18" s="261"/>
      <c r="M18" s="261"/>
      <c r="N18" s="261"/>
      <c r="O18" s="261"/>
      <c r="P18" s="263"/>
      <c r="Q18" s="264"/>
      <c r="R18" s="135"/>
      <c r="S18" s="135"/>
      <c r="T18" s="126"/>
      <c r="U18" s="48"/>
      <c r="V18" s="48"/>
      <c r="W18" s="48"/>
      <c r="X18" s="48"/>
      <c r="Y18" s="48"/>
      <c r="Z18" s="48"/>
      <c r="AA18" s="48"/>
      <c r="AB18" s="48"/>
      <c r="AC18" s="48"/>
      <c r="AD18" s="48"/>
      <c r="AE18" s="48"/>
      <c r="AF18" s="48"/>
      <c r="AG18" s="48"/>
      <c r="AH18" s="48"/>
      <c r="AI18" s="48"/>
      <c r="AJ18" s="48"/>
      <c r="AK18" s="44"/>
      <c r="AL18" s="44"/>
    </row>
    <row r="19" spans="1:38" x14ac:dyDescent="0.25">
      <c r="A19" s="94"/>
      <c r="B19" s="261" t="s">
        <v>39</v>
      </c>
      <c r="C19" s="261"/>
      <c r="D19" s="261"/>
      <c r="E19" s="261" t="s">
        <v>502</v>
      </c>
      <c r="F19" s="261"/>
      <c r="G19" s="276"/>
      <c r="H19" s="262"/>
      <c r="I19" s="286"/>
      <c r="J19" s="261"/>
      <c r="K19" s="291"/>
      <c r="L19" s="261"/>
      <c r="M19" s="261"/>
      <c r="N19" s="261"/>
      <c r="O19" s="261"/>
      <c r="P19" s="263"/>
      <c r="Q19" s="264"/>
      <c r="R19" s="85"/>
      <c r="S19" s="49" t="s">
        <v>1674</v>
      </c>
      <c r="T19" s="126"/>
      <c r="U19" s="48"/>
      <c r="V19" s="48"/>
      <c r="W19" s="48"/>
      <c r="X19" s="48"/>
      <c r="Y19" s="48"/>
      <c r="Z19" s="48"/>
      <c r="AA19" s="48"/>
      <c r="AB19" s="48"/>
      <c r="AC19" s="48"/>
      <c r="AD19" s="48"/>
      <c r="AE19" s="48"/>
      <c r="AF19" s="48"/>
      <c r="AG19" s="48"/>
      <c r="AH19" s="48"/>
      <c r="AI19" s="48"/>
      <c r="AJ19" s="48"/>
      <c r="AK19" s="44"/>
      <c r="AL19" s="44"/>
    </row>
    <row r="20" spans="1:38" x14ac:dyDescent="0.25">
      <c r="A20" s="94"/>
      <c r="B20" s="265" t="s">
        <v>503</v>
      </c>
      <c r="C20" s="266" t="s">
        <v>783</v>
      </c>
      <c r="D20" s="265" t="s">
        <v>199</v>
      </c>
      <c r="E20" s="265" t="s">
        <v>784</v>
      </c>
      <c r="F20" s="267" t="s">
        <v>785</v>
      </c>
      <c r="G20" s="277">
        <v>12</v>
      </c>
      <c r="H20" s="268">
        <v>895.61</v>
      </c>
      <c r="I20" s="287">
        <f>24.51+24.51+26.81</f>
        <v>75.83</v>
      </c>
      <c r="J20" s="268">
        <f t="shared" ref="J20:J29" si="0">I20*(1+$M$9)</f>
        <v>96.21</v>
      </c>
      <c r="K20" s="292">
        <f>H20-I20</f>
        <v>819.78</v>
      </c>
      <c r="L20" s="268">
        <f t="shared" ref="L20:L29" si="1">K20*(1+$M$9)</f>
        <v>1040.05</v>
      </c>
      <c r="M20" s="268">
        <f t="shared" ref="M20:M29" si="2">L20+J20</f>
        <v>1136.26</v>
      </c>
      <c r="N20" s="268">
        <f t="shared" ref="N20:N29" si="3">J20*G20</f>
        <v>1154.52</v>
      </c>
      <c r="O20" s="268">
        <f t="shared" ref="O20:O29" si="4">L20*G20</f>
        <v>12480.6</v>
      </c>
      <c r="P20" s="268">
        <f t="shared" ref="P20:P29" si="5">O20+N20</f>
        <v>13635.12</v>
      </c>
      <c r="Q20" s="269">
        <f t="shared" ref="Q20:Q29" si="6">P20/$O$485</f>
        <v>5.4000000000000003E-3</v>
      </c>
      <c r="R20" s="44"/>
      <c r="S20" s="49">
        <f>G20*H20</f>
        <v>10747.32</v>
      </c>
      <c r="T20" s="124"/>
      <c r="U20" s="48"/>
      <c r="V20" s="48"/>
      <c r="W20" s="48"/>
      <c r="X20" s="48"/>
      <c r="Y20" s="48"/>
      <c r="Z20" s="48"/>
      <c r="AA20" s="48"/>
      <c r="AB20" s="48"/>
      <c r="AC20" s="48"/>
      <c r="AD20" s="48"/>
      <c r="AE20" s="48"/>
      <c r="AF20" s="48"/>
      <c r="AG20" s="48"/>
      <c r="AH20" s="48"/>
      <c r="AI20" s="48"/>
      <c r="AJ20" s="48"/>
      <c r="AK20" s="44"/>
      <c r="AL20" s="44"/>
    </row>
    <row r="21" spans="1:38" ht="27.6" x14ac:dyDescent="0.25">
      <c r="A21" s="94"/>
      <c r="B21" s="265" t="s">
        <v>504</v>
      </c>
      <c r="C21" s="266" t="s">
        <v>980</v>
      </c>
      <c r="D21" s="265" t="s">
        <v>146</v>
      </c>
      <c r="E21" s="265" t="s">
        <v>981</v>
      </c>
      <c r="F21" s="267" t="s">
        <v>41</v>
      </c>
      <c r="G21" s="277">
        <v>16</v>
      </c>
      <c r="H21" s="268">
        <v>199.84</v>
      </c>
      <c r="I21" s="287">
        <f>20.85+10.62+18.36</f>
        <v>49.83</v>
      </c>
      <c r="J21" s="268">
        <f t="shared" si="0"/>
        <v>63.22</v>
      </c>
      <c r="K21" s="292">
        <f>H21-I21</f>
        <v>150.01</v>
      </c>
      <c r="L21" s="268">
        <f t="shared" si="1"/>
        <v>190.32</v>
      </c>
      <c r="M21" s="268">
        <f t="shared" si="2"/>
        <v>253.54</v>
      </c>
      <c r="N21" s="268">
        <f t="shared" si="3"/>
        <v>1011.52</v>
      </c>
      <c r="O21" s="268">
        <f t="shared" si="4"/>
        <v>3045.12</v>
      </c>
      <c r="P21" s="268">
        <f t="shared" si="5"/>
        <v>4056.64</v>
      </c>
      <c r="Q21" s="269">
        <f t="shared" si="6"/>
        <v>1.6000000000000001E-3</v>
      </c>
      <c r="R21" s="44"/>
      <c r="S21" s="49">
        <f t="shared" ref="S21:S84" si="7">G21*H21</f>
        <v>3197.44</v>
      </c>
      <c r="T21" s="126"/>
      <c r="U21" s="48"/>
      <c r="V21" s="48"/>
      <c r="W21" s="48"/>
      <c r="X21" s="48"/>
      <c r="Y21" s="48"/>
      <c r="Z21" s="48"/>
      <c r="AA21" s="48"/>
      <c r="AB21" s="48"/>
      <c r="AC21" s="48"/>
      <c r="AD21" s="48"/>
      <c r="AE21" s="48"/>
      <c r="AF21" s="48"/>
      <c r="AG21" s="48"/>
      <c r="AH21" s="48"/>
      <c r="AI21" s="48"/>
      <c r="AJ21" s="48"/>
      <c r="AK21" s="44"/>
      <c r="AL21" s="44"/>
    </row>
    <row r="22" spans="1:38" x14ac:dyDescent="0.25">
      <c r="A22" s="94"/>
      <c r="B22" s="265" t="s">
        <v>505</v>
      </c>
      <c r="C22" s="266" t="s">
        <v>1342</v>
      </c>
      <c r="D22" s="265" t="s">
        <v>146</v>
      </c>
      <c r="E22" s="265" t="s">
        <v>1343</v>
      </c>
      <c r="F22" s="267" t="s">
        <v>1344</v>
      </c>
      <c r="G22" s="277">
        <v>12</v>
      </c>
      <c r="H22" s="268">
        <v>945.23</v>
      </c>
      <c r="I22" s="287">
        <v>0</v>
      </c>
      <c r="J22" s="268">
        <f t="shared" si="0"/>
        <v>0</v>
      </c>
      <c r="K22" s="292">
        <f>H22</f>
        <v>945.23</v>
      </c>
      <c r="L22" s="268">
        <f t="shared" si="1"/>
        <v>1199.21</v>
      </c>
      <c r="M22" s="268">
        <f t="shared" si="2"/>
        <v>1199.21</v>
      </c>
      <c r="N22" s="268">
        <f t="shared" si="3"/>
        <v>0</v>
      </c>
      <c r="O22" s="268">
        <f t="shared" si="4"/>
        <v>14390.52</v>
      </c>
      <c r="P22" s="268">
        <f t="shared" si="5"/>
        <v>14390.52</v>
      </c>
      <c r="Q22" s="269">
        <f t="shared" si="6"/>
        <v>5.7000000000000002E-3</v>
      </c>
      <c r="R22" s="44"/>
      <c r="S22" s="49">
        <f t="shared" si="7"/>
        <v>11342.76</v>
      </c>
      <c r="T22" s="126"/>
      <c r="U22" s="48"/>
      <c r="V22" s="48"/>
      <c r="W22" s="48"/>
      <c r="X22" s="48"/>
      <c r="Y22" s="48"/>
      <c r="Z22" s="48"/>
      <c r="AA22" s="48"/>
      <c r="AB22" s="48"/>
      <c r="AC22" s="48"/>
      <c r="AD22" s="48"/>
      <c r="AE22" s="48"/>
      <c r="AF22" s="48"/>
      <c r="AG22" s="48"/>
      <c r="AH22" s="48"/>
      <c r="AI22" s="48"/>
      <c r="AJ22" s="48"/>
      <c r="AK22" s="44"/>
      <c r="AL22" s="44"/>
    </row>
    <row r="23" spans="1:38" x14ac:dyDescent="0.25">
      <c r="A23" s="94"/>
      <c r="B23" s="265" t="s">
        <v>506</v>
      </c>
      <c r="C23" s="266" t="s">
        <v>982</v>
      </c>
      <c r="D23" s="265" t="s">
        <v>51</v>
      </c>
      <c r="E23" s="265" t="s">
        <v>983</v>
      </c>
      <c r="F23" s="267" t="s">
        <v>41</v>
      </c>
      <c r="G23" s="277">
        <v>20</v>
      </c>
      <c r="H23" s="268">
        <v>878.71</v>
      </c>
      <c r="I23" s="287">
        <f>161.25+142.77+174.3</f>
        <v>478.32</v>
      </c>
      <c r="J23" s="268">
        <f t="shared" si="0"/>
        <v>606.84</v>
      </c>
      <c r="K23" s="292">
        <f>H23-I23</f>
        <v>400.39</v>
      </c>
      <c r="L23" s="268">
        <f t="shared" si="1"/>
        <v>507.97</v>
      </c>
      <c r="M23" s="268">
        <f t="shared" si="2"/>
        <v>1114.81</v>
      </c>
      <c r="N23" s="268">
        <f t="shared" si="3"/>
        <v>12136.8</v>
      </c>
      <c r="O23" s="268">
        <f t="shared" si="4"/>
        <v>10159.4</v>
      </c>
      <c r="P23" s="268">
        <f t="shared" si="5"/>
        <v>22296.2</v>
      </c>
      <c r="Q23" s="269">
        <f t="shared" si="6"/>
        <v>8.8000000000000005E-3</v>
      </c>
      <c r="R23" s="44"/>
      <c r="S23" s="49">
        <f t="shared" si="7"/>
        <v>17574.2</v>
      </c>
      <c r="T23" s="126"/>
      <c r="U23" s="48"/>
      <c r="V23" s="48"/>
      <c r="W23" s="48"/>
      <c r="X23" s="48"/>
      <c r="Y23" s="48"/>
      <c r="Z23" s="48"/>
      <c r="AA23" s="48"/>
      <c r="AB23" s="48"/>
      <c r="AC23" s="48"/>
      <c r="AD23" s="48"/>
      <c r="AE23" s="48"/>
      <c r="AF23" s="48"/>
      <c r="AG23" s="48"/>
      <c r="AH23" s="48"/>
      <c r="AI23" s="48"/>
      <c r="AJ23" s="48"/>
      <c r="AK23" s="44"/>
      <c r="AL23" s="44"/>
    </row>
    <row r="24" spans="1:38" ht="27.6" x14ac:dyDescent="0.25">
      <c r="A24" s="94"/>
      <c r="B24" s="265" t="s">
        <v>507</v>
      </c>
      <c r="C24" s="266" t="s">
        <v>43</v>
      </c>
      <c r="D24" s="265" t="s">
        <v>40</v>
      </c>
      <c r="E24" s="265" t="s">
        <v>984</v>
      </c>
      <c r="F24" s="267" t="s">
        <v>44</v>
      </c>
      <c r="G24" s="277">
        <v>1</v>
      </c>
      <c r="H24" s="268">
        <f>I24+K24</f>
        <v>536.72</v>
      </c>
      <c r="I24" s="287">
        <v>54.44</v>
      </c>
      <c r="J24" s="268">
        <f t="shared" si="0"/>
        <v>69.069999999999993</v>
      </c>
      <c r="K24" s="292">
        <v>482.28</v>
      </c>
      <c r="L24" s="268">
        <f t="shared" si="1"/>
        <v>611.87</v>
      </c>
      <c r="M24" s="268">
        <f t="shared" si="2"/>
        <v>680.94</v>
      </c>
      <c r="N24" s="268">
        <f t="shared" si="3"/>
        <v>69.069999999999993</v>
      </c>
      <c r="O24" s="268">
        <f t="shared" si="4"/>
        <v>611.87</v>
      </c>
      <c r="P24" s="268">
        <f t="shared" si="5"/>
        <v>680.94</v>
      </c>
      <c r="Q24" s="269">
        <f t="shared" si="6"/>
        <v>2.9999999999999997E-4</v>
      </c>
      <c r="R24" s="44"/>
      <c r="S24" s="49">
        <f t="shared" si="7"/>
        <v>536.72</v>
      </c>
      <c r="T24" s="126"/>
      <c r="U24" s="48"/>
      <c r="V24" s="48"/>
      <c r="W24" s="48"/>
      <c r="X24" s="48"/>
      <c r="Y24" s="48"/>
      <c r="Z24" s="48"/>
      <c r="AA24" s="48"/>
      <c r="AB24" s="48"/>
      <c r="AC24" s="48"/>
      <c r="AD24" s="48"/>
      <c r="AE24" s="48"/>
      <c r="AF24" s="48"/>
      <c r="AG24" s="48"/>
      <c r="AH24" s="48"/>
      <c r="AI24" s="48"/>
      <c r="AJ24" s="48"/>
      <c r="AK24" s="44"/>
      <c r="AL24" s="44"/>
    </row>
    <row r="25" spans="1:38" x14ac:dyDescent="0.25">
      <c r="A25" s="94"/>
      <c r="B25" s="265" t="s">
        <v>508</v>
      </c>
      <c r="C25" s="266" t="s">
        <v>45</v>
      </c>
      <c r="D25" s="265" t="s">
        <v>40</v>
      </c>
      <c r="E25" s="265" t="s">
        <v>985</v>
      </c>
      <c r="F25" s="267" t="s">
        <v>44</v>
      </c>
      <c r="G25" s="277">
        <v>1</v>
      </c>
      <c r="H25" s="268">
        <f>I25+K25</f>
        <v>110.31</v>
      </c>
      <c r="I25" s="292">
        <v>14.3</v>
      </c>
      <c r="J25" s="268">
        <f t="shared" si="0"/>
        <v>18.14</v>
      </c>
      <c r="K25" s="292">
        <v>96.01</v>
      </c>
      <c r="L25" s="268">
        <f t="shared" si="1"/>
        <v>121.81</v>
      </c>
      <c r="M25" s="268">
        <f t="shared" si="2"/>
        <v>139.94999999999999</v>
      </c>
      <c r="N25" s="268">
        <f t="shared" si="3"/>
        <v>18.14</v>
      </c>
      <c r="O25" s="268">
        <f t="shared" si="4"/>
        <v>121.81</v>
      </c>
      <c r="P25" s="268">
        <f t="shared" si="5"/>
        <v>139.94999999999999</v>
      </c>
      <c r="Q25" s="269">
        <f t="shared" si="6"/>
        <v>1E-4</v>
      </c>
      <c r="R25" s="44"/>
      <c r="S25" s="49">
        <f t="shared" si="7"/>
        <v>110.31</v>
      </c>
      <c r="T25" s="126"/>
      <c r="U25" s="48"/>
      <c r="V25" s="48"/>
      <c r="W25" s="48"/>
      <c r="X25" s="48"/>
      <c r="Y25" s="48"/>
      <c r="Z25" s="48"/>
      <c r="AA25" s="48"/>
      <c r="AB25" s="48"/>
      <c r="AC25" s="48"/>
      <c r="AD25" s="48"/>
      <c r="AE25" s="48"/>
      <c r="AF25" s="48"/>
      <c r="AG25" s="48"/>
      <c r="AH25" s="48"/>
      <c r="AI25" s="48"/>
      <c r="AJ25" s="48"/>
      <c r="AK25" s="44"/>
      <c r="AL25" s="44"/>
    </row>
    <row r="26" spans="1:38" ht="27.6" x14ac:dyDescent="0.25">
      <c r="A26" s="94"/>
      <c r="B26" s="265" t="s">
        <v>509</v>
      </c>
      <c r="C26" s="266" t="s">
        <v>46</v>
      </c>
      <c r="D26" s="265" t="s">
        <v>40</v>
      </c>
      <c r="E26" s="265" t="s">
        <v>47</v>
      </c>
      <c r="F26" s="267" t="s">
        <v>44</v>
      </c>
      <c r="G26" s="277">
        <v>1</v>
      </c>
      <c r="H26" s="268">
        <f>I26+K26</f>
        <v>1851.56</v>
      </c>
      <c r="I26" s="287">
        <v>326.19</v>
      </c>
      <c r="J26" s="268">
        <f t="shared" si="0"/>
        <v>413.84</v>
      </c>
      <c r="K26" s="292">
        <f>1518.64+6.73</f>
        <v>1525.37</v>
      </c>
      <c r="L26" s="268">
        <f t="shared" si="1"/>
        <v>1935.24</v>
      </c>
      <c r="M26" s="268">
        <f t="shared" si="2"/>
        <v>2349.08</v>
      </c>
      <c r="N26" s="268">
        <f t="shared" si="3"/>
        <v>413.84</v>
      </c>
      <c r="O26" s="268">
        <f t="shared" si="4"/>
        <v>1935.24</v>
      </c>
      <c r="P26" s="268">
        <f t="shared" si="5"/>
        <v>2349.08</v>
      </c>
      <c r="Q26" s="269">
        <f t="shared" si="6"/>
        <v>8.9999999999999998E-4</v>
      </c>
      <c r="R26" s="44"/>
      <c r="S26" s="49">
        <f t="shared" si="7"/>
        <v>1851.56</v>
      </c>
      <c r="T26" s="126"/>
      <c r="U26" s="48"/>
      <c r="V26" s="48"/>
      <c r="W26" s="48"/>
      <c r="X26" s="48"/>
      <c r="Y26" s="48"/>
      <c r="Z26" s="48"/>
      <c r="AA26" s="48"/>
      <c r="AB26" s="48"/>
      <c r="AC26" s="48"/>
      <c r="AD26" s="48"/>
      <c r="AE26" s="48"/>
      <c r="AF26" s="48"/>
      <c r="AG26" s="48"/>
      <c r="AH26" s="48"/>
      <c r="AI26" s="48"/>
      <c r="AJ26" s="48"/>
      <c r="AK26" s="44"/>
      <c r="AL26" s="44"/>
    </row>
    <row r="27" spans="1:38" ht="27.6" x14ac:dyDescent="0.25">
      <c r="A27" s="94"/>
      <c r="B27" s="265" t="s">
        <v>510</v>
      </c>
      <c r="C27" s="266" t="s">
        <v>48</v>
      </c>
      <c r="D27" s="265" t="s">
        <v>40</v>
      </c>
      <c r="E27" s="265" t="s">
        <v>49</v>
      </c>
      <c r="F27" s="267" t="s">
        <v>41</v>
      </c>
      <c r="G27" s="277">
        <v>6</v>
      </c>
      <c r="H27" s="268">
        <f>I27+K27</f>
        <v>458.06</v>
      </c>
      <c r="I27" s="287">
        <v>26.54</v>
      </c>
      <c r="J27" s="268">
        <f t="shared" si="0"/>
        <v>33.67</v>
      </c>
      <c r="K27" s="292">
        <v>431.52</v>
      </c>
      <c r="L27" s="268">
        <f t="shared" si="1"/>
        <v>547.47</v>
      </c>
      <c r="M27" s="268">
        <f t="shared" si="2"/>
        <v>581.14</v>
      </c>
      <c r="N27" s="268">
        <f t="shared" si="3"/>
        <v>202.02</v>
      </c>
      <c r="O27" s="268">
        <f t="shared" si="4"/>
        <v>3284.82</v>
      </c>
      <c r="P27" s="268">
        <f t="shared" si="5"/>
        <v>3486.84</v>
      </c>
      <c r="Q27" s="269">
        <f t="shared" si="6"/>
        <v>1.4E-3</v>
      </c>
      <c r="R27" s="44"/>
      <c r="S27" s="49">
        <f t="shared" si="7"/>
        <v>2748.36</v>
      </c>
      <c r="T27" s="126"/>
      <c r="U27" s="48"/>
      <c r="V27" s="48"/>
      <c r="W27" s="48"/>
      <c r="X27" s="48"/>
      <c r="Y27" s="48"/>
      <c r="Z27" s="48"/>
      <c r="AA27" s="48"/>
      <c r="AB27" s="48"/>
      <c r="AC27" s="48"/>
      <c r="AD27" s="48"/>
      <c r="AE27" s="48"/>
      <c r="AF27" s="48"/>
      <c r="AG27" s="48"/>
      <c r="AH27" s="48"/>
      <c r="AI27" s="48"/>
      <c r="AJ27" s="48"/>
      <c r="AK27" s="44"/>
      <c r="AL27" s="44"/>
    </row>
    <row r="28" spans="1:38" ht="27.6" x14ac:dyDescent="0.25">
      <c r="A28" s="94"/>
      <c r="B28" s="265" t="s">
        <v>511</v>
      </c>
      <c r="C28" s="266" t="s">
        <v>513</v>
      </c>
      <c r="D28" s="265" t="s">
        <v>199</v>
      </c>
      <c r="E28" s="265" t="s">
        <v>754</v>
      </c>
      <c r="F28" s="267" t="s">
        <v>59</v>
      </c>
      <c r="G28" s="277">
        <v>120</v>
      </c>
      <c r="H28" s="268">
        <v>107.65</v>
      </c>
      <c r="I28" s="287">
        <v>11.14</v>
      </c>
      <c r="J28" s="268">
        <f t="shared" si="0"/>
        <v>14.13</v>
      </c>
      <c r="K28" s="292">
        <f>H28-I28</f>
        <v>96.51</v>
      </c>
      <c r="L28" s="268">
        <f t="shared" si="1"/>
        <v>122.44</v>
      </c>
      <c r="M28" s="268">
        <f t="shared" si="2"/>
        <v>136.57</v>
      </c>
      <c r="N28" s="268">
        <f t="shared" si="3"/>
        <v>1695.6</v>
      </c>
      <c r="O28" s="268">
        <f t="shared" si="4"/>
        <v>14692.8</v>
      </c>
      <c r="P28" s="268">
        <f t="shared" si="5"/>
        <v>16388.400000000001</v>
      </c>
      <c r="Q28" s="269">
        <f t="shared" si="6"/>
        <v>6.4999999999999997E-3</v>
      </c>
      <c r="R28" s="44"/>
      <c r="S28" s="49">
        <f t="shared" si="7"/>
        <v>12918</v>
      </c>
      <c r="T28" s="126"/>
      <c r="U28" s="48"/>
      <c r="V28" s="48"/>
      <c r="W28" s="48"/>
      <c r="X28" s="48"/>
      <c r="Y28" s="48"/>
      <c r="Z28" s="48"/>
      <c r="AA28" s="48"/>
      <c r="AB28" s="48"/>
      <c r="AC28" s="48"/>
      <c r="AD28" s="48"/>
      <c r="AE28" s="48"/>
      <c r="AF28" s="48"/>
      <c r="AG28" s="48"/>
      <c r="AH28" s="48"/>
      <c r="AI28" s="48"/>
      <c r="AJ28" s="48"/>
      <c r="AK28" s="44"/>
      <c r="AL28" s="44"/>
    </row>
    <row r="29" spans="1:38" x14ac:dyDescent="0.25">
      <c r="A29" s="94"/>
      <c r="B29" s="265" t="s">
        <v>512</v>
      </c>
      <c r="C29" s="266" t="s">
        <v>50</v>
      </c>
      <c r="D29" s="265" t="s">
        <v>40</v>
      </c>
      <c r="E29" s="265" t="s">
        <v>986</v>
      </c>
      <c r="F29" s="267" t="s">
        <v>41</v>
      </c>
      <c r="G29" s="277">
        <v>382.58</v>
      </c>
      <c r="H29" s="268">
        <f>I29+K29</f>
        <v>88.75</v>
      </c>
      <c r="I29" s="287">
        <v>21.85</v>
      </c>
      <c r="J29" s="268">
        <f t="shared" si="0"/>
        <v>27.72</v>
      </c>
      <c r="K29" s="292">
        <v>66.900000000000006</v>
      </c>
      <c r="L29" s="268">
        <f t="shared" si="1"/>
        <v>84.88</v>
      </c>
      <c r="M29" s="268">
        <f t="shared" si="2"/>
        <v>112.6</v>
      </c>
      <c r="N29" s="268">
        <f t="shared" si="3"/>
        <v>10605.12</v>
      </c>
      <c r="O29" s="268">
        <f t="shared" si="4"/>
        <v>32473.39</v>
      </c>
      <c r="P29" s="268">
        <f t="shared" si="5"/>
        <v>43078.51</v>
      </c>
      <c r="Q29" s="269">
        <f t="shared" si="6"/>
        <v>1.7000000000000001E-2</v>
      </c>
      <c r="R29" s="44"/>
      <c r="S29" s="49">
        <f t="shared" si="7"/>
        <v>33953.980000000003</v>
      </c>
      <c r="T29" s="126"/>
      <c r="U29" s="48"/>
      <c r="V29" s="48"/>
      <c r="W29" s="48"/>
      <c r="X29" s="48"/>
      <c r="Y29" s="48"/>
      <c r="Z29" s="48"/>
      <c r="AA29" s="48"/>
      <c r="AB29" s="48"/>
      <c r="AC29" s="48"/>
      <c r="AD29" s="48"/>
      <c r="AE29" s="48"/>
      <c r="AF29" s="48"/>
      <c r="AG29" s="48"/>
      <c r="AH29" s="48"/>
      <c r="AI29" s="48"/>
      <c r="AJ29" s="48"/>
      <c r="AK29" s="44"/>
      <c r="AL29" s="44"/>
    </row>
    <row r="30" spans="1:38" x14ac:dyDescent="0.25">
      <c r="A30" s="94"/>
      <c r="B30" s="261" t="s">
        <v>755</v>
      </c>
      <c r="C30" s="261"/>
      <c r="D30" s="261"/>
      <c r="E30" s="261" t="s">
        <v>795</v>
      </c>
      <c r="F30" s="261"/>
      <c r="G30" s="276"/>
      <c r="H30" s="262"/>
      <c r="I30" s="286"/>
      <c r="J30" s="261"/>
      <c r="K30" s="291"/>
      <c r="L30" s="261"/>
      <c r="M30" s="261"/>
      <c r="N30" s="261"/>
      <c r="O30" s="261"/>
      <c r="P30" s="263"/>
      <c r="Q30" s="263"/>
      <c r="R30" s="44"/>
      <c r="S30" s="49">
        <f t="shared" si="7"/>
        <v>0</v>
      </c>
      <c r="T30" s="126"/>
      <c r="U30" s="48"/>
      <c r="V30" s="48"/>
      <c r="W30" s="48"/>
      <c r="X30" s="48"/>
      <c r="Y30" s="48"/>
      <c r="Z30" s="48"/>
      <c r="AA30" s="48"/>
      <c r="AB30" s="48"/>
      <c r="AC30" s="48"/>
      <c r="AD30" s="48"/>
      <c r="AE30" s="48"/>
      <c r="AF30" s="48"/>
      <c r="AG30" s="48"/>
      <c r="AH30" s="48"/>
      <c r="AI30" s="48"/>
      <c r="AJ30" s="48"/>
      <c r="AK30" s="44"/>
      <c r="AL30" s="44"/>
    </row>
    <row r="31" spans="1:38" x14ac:dyDescent="0.25">
      <c r="A31" s="94"/>
      <c r="B31" s="265" t="s">
        <v>756</v>
      </c>
      <c r="C31" s="266" t="s">
        <v>788</v>
      </c>
      <c r="D31" s="265" t="s">
        <v>40</v>
      </c>
      <c r="E31" s="265" t="s">
        <v>789</v>
      </c>
      <c r="F31" s="267" t="s">
        <v>359</v>
      </c>
      <c r="G31" s="277">
        <v>2.4</v>
      </c>
      <c r="H31" s="268">
        <f>I31+K31</f>
        <v>18188.59</v>
      </c>
      <c r="I31" s="287">
        <v>17793.98</v>
      </c>
      <c r="J31" s="268">
        <f>I31*(1+$M$9)</f>
        <v>22575.22</v>
      </c>
      <c r="K31" s="292">
        <v>394.61</v>
      </c>
      <c r="L31" s="268">
        <f>K31*(1+$M$9)</f>
        <v>500.64</v>
      </c>
      <c r="M31" s="268">
        <f>L31+J31</f>
        <v>23075.86</v>
      </c>
      <c r="N31" s="268">
        <f>J31*G31</f>
        <v>54180.53</v>
      </c>
      <c r="O31" s="268">
        <f>L31*G31</f>
        <v>1201.54</v>
      </c>
      <c r="P31" s="268">
        <f>O31+N31</f>
        <v>55382.07</v>
      </c>
      <c r="Q31" s="269">
        <f>P31/$O$485</f>
        <v>2.1899999999999999E-2</v>
      </c>
      <c r="R31" s="44"/>
      <c r="S31" s="49">
        <f t="shared" si="7"/>
        <v>43652.62</v>
      </c>
      <c r="T31" s="126"/>
      <c r="U31" s="48"/>
      <c r="V31" s="48"/>
      <c r="W31" s="48"/>
      <c r="X31" s="48"/>
      <c r="Y31" s="48"/>
      <c r="Z31" s="48"/>
      <c r="AA31" s="48"/>
      <c r="AB31" s="48"/>
      <c r="AC31" s="48"/>
      <c r="AD31" s="48"/>
      <c r="AE31" s="48"/>
      <c r="AF31" s="48"/>
      <c r="AG31" s="48"/>
      <c r="AH31" s="48"/>
      <c r="AI31" s="48"/>
      <c r="AJ31" s="48"/>
      <c r="AK31" s="44"/>
      <c r="AL31" s="44"/>
    </row>
    <row r="32" spans="1:38" x14ac:dyDescent="0.25">
      <c r="A32" s="94"/>
      <c r="B32" s="261" t="s">
        <v>42</v>
      </c>
      <c r="C32" s="261"/>
      <c r="D32" s="261"/>
      <c r="E32" s="261" t="s">
        <v>514</v>
      </c>
      <c r="F32" s="261"/>
      <c r="G32" s="276"/>
      <c r="H32" s="262"/>
      <c r="I32" s="286"/>
      <c r="J32" s="261"/>
      <c r="K32" s="291"/>
      <c r="L32" s="261"/>
      <c r="M32" s="261"/>
      <c r="N32" s="261"/>
      <c r="O32" s="261"/>
      <c r="P32" s="263"/>
      <c r="Q32" s="263"/>
      <c r="R32" s="44"/>
      <c r="S32" s="49">
        <f t="shared" si="7"/>
        <v>0</v>
      </c>
      <c r="T32" s="126"/>
      <c r="U32" s="48"/>
      <c r="V32" s="48"/>
      <c r="W32" s="48"/>
      <c r="X32" s="48"/>
      <c r="Y32" s="48"/>
      <c r="Z32" s="48"/>
      <c r="AA32" s="48"/>
      <c r="AB32" s="48"/>
      <c r="AC32" s="48"/>
      <c r="AD32" s="48"/>
      <c r="AE32" s="48"/>
      <c r="AF32" s="48"/>
      <c r="AG32" s="48"/>
      <c r="AH32" s="48"/>
      <c r="AI32" s="48"/>
      <c r="AJ32" s="48"/>
      <c r="AK32" s="44"/>
      <c r="AL32" s="44"/>
    </row>
    <row r="33" spans="1:38" x14ac:dyDescent="0.25">
      <c r="A33" s="94"/>
      <c r="B33" s="265" t="s">
        <v>515</v>
      </c>
      <c r="C33" s="266" t="s">
        <v>1445</v>
      </c>
      <c r="D33" s="265" t="s">
        <v>51</v>
      </c>
      <c r="E33" s="265" t="s">
        <v>1446</v>
      </c>
      <c r="F33" s="267" t="s">
        <v>44</v>
      </c>
      <c r="G33" s="277">
        <v>1</v>
      </c>
      <c r="H33" s="268">
        <v>4125.95</v>
      </c>
      <c r="I33" s="287">
        <f>H33</f>
        <v>4125.95</v>
      </c>
      <c r="J33" s="268">
        <f>I33*(1+$M$9)</f>
        <v>5234.59</v>
      </c>
      <c r="K33" s="292">
        <v>0</v>
      </c>
      <c r="L33" s="268">
        <f>K33*(1+$M$9)</f>
        <v>0</v>
      </c>
      <c r="M33" s="268">
        <f>L33+J33</f>
        <v>5234.59</v>
      </c>
      <c r="N33" s="268">
        <f>J33*G33</f>
        <v>5234.59</v>
      </c>
      <c r="O33" s="268">
        <f>L33*G33</f>
        <v>0</v>
      </c>
      <c r="P33" s="268">
        <f>O33+N33</f>
        <v>5234.59</v>
      </c>
      <c r="Q33" s="269">
        <f>P33/$O$485</f>
        <v>2.0999999999999999E-3</v>
      </c>
      <c r="R33" s="44"/>
      <c r="S33" s="49">
        <f t="shared" si="7"/>
        <v>4125.95</v>
      </c>
      <c r="T33" s="126"/>
      <c r="U33" s="48"/>
      <c r="V33" s="48"/>
      <c r="W33" s="48"/>
      <c r="X33" s="48"/>
      <c r="Y33" s="48"/>
      <c r="Z33" s="48"/>
      <c r="AA33" s="48"/>
      <c r="AB33" s="48"/>
      <c r="AC33" s="48"/>
      <c r="AD33" s="48"/>
      <c r="AE33" s="48"/>
      <c r="AF33" s="48"/>
      <c r="AG33" s="48"/>
      <c r="AH33" s="48"/>
      <c r="AI33" s="48"/>
      <c r="AJ33" s="48"/>
      <c r="AK33" s="44"/>
      <c r="AL33" s="44"/>
    </row>
    <row r="34" spans="1:38" x14ac:dyDescent="0.25">
      <c r="A34" s="94"/>
      <c r="B34" s="261" t="s">
        <v>786</v>
      </c>
      <c r="C34" s="261"/>
      <c r="D34" s="261"/>
      <c r="E34" s="261" t="s">
        <v>309</v>
      </c>
      <c r="F34" s="261"/>
      <c r="G34" s="276"/>
      <c r="H34" s="262"/>
      <c r="I34" s="286"/>
      <c r="J34" s="261"/>
      <c r="K34" s="291"/>
      <c r="L34" s="261"/>
      <c r="M34" s="261"/>
      <c r="N34" s="261"/>
      <c r="O34" s="261"/>
      <c r="P34" s="263"/>
      <c r="Q34" s="263"/>
      <c r="R34" s="44"/>
      <c r="S34" s="49">
        <f t="shared" si="7"/>
        <v>0</v>
      </c>
      <c r="T34" s="124"/>
      <c r="U34" s="48"/>
      <c r="V34" s="48"/>
      <c r="W34" s="48"/>
      <c r="X34" s="48"/>
      <c r="Y34" s="48"/>
      <c r="Z34" s="48"/>
      <c r="AA34" s="48"/>
      <c r="AB34" s="48"/>
      <c r="AC34" s="48"/>
      <c r="AD34" s="48"/>
      <c r="AE34" s="48"/>
      <c r="AF34" s="48"/>
      <c r="AG34" s="48"/>
      <c r="AH34" s="48"/>
      <c r="AI34" s="48"/>
      <c r="AJ34" s="48"/>
      <c r="AK34" s="44"/>
      <c r="AL34" s="44"/>
    </row>
    <row r="35" spans="1:38" ht="41.4" x14ac:dyDescent="0.25">
      <c r="A35" s="94"/>
      <c r="B35" s="265" t="s">
        <v>787</v>
      </c>
      <c r="C35" s="266" t="s">
        <v>310</v>
      </c>
      <c r="D35" s="265" t="s">
        <v>100</v>
      </c>
      <c r="E35" s="265" t="s">
        <v>311</v>
      </c>
      <c r="F35" s="267" t="s">
        <v>312</v>
      </c>
      <c r="G35" s="277">
        <v>668.16</v>
      </c>
      <c r="H35" s="268">
        <f>CPUS!L19</f>
        <v>28.06</v>
      </c>
      <c r="I35" s="287">
        <f>CPUS!H22</f>
        <v>12.09</v>
      </c>
      <c r="J35" s="268">
        <f>I35*(1+$M$9)</f>
        <v>15.34</v>
      </c>
      <c r="K35" s="292">
        <f>H35-I35</f>
        <v>15.97</v>
      </c>
      <c r="L35" s="268">
        <f>K35*(1+$M$9)</f>
        <v>20.260000000000002</v>
      </c>
      <c r="M35" s="268">
        <f>L35+J35</f>
        <v>35.6</v>
      </c>
      <c r="N35" s="268">
        <f>J35*G35</f>
        <v>10249.57</v>
      </c>
      <c r="O35" s="268">
        <f>L35*G35</f>
        <v>13536.92</v>
      </c>
      <c r="P35" s="268">
        <f>O35+N35</f>
        <v>23786.49</v>
      </c>
      <c r="Q35" s="269">
        <f>P35/$O$485</f>
        <v>9.4000000000000004E-3</v>
      </c>
      <c r="R35" s="44"/>
      <c r="S35" s="49">
        <f t="shared" si="7"/>
        <v>18748.57</v>
      </c>
      <c r="T35" s="126"/>
      <c r="U35" s="48"/>
      <c r="V35" s="48"/>
      <c r="W35" s="48"/>
      <c r="X35" s="48"/>
      <c r="Y35" s="48"/>
      <c r="Z35" s="48"/>
      <c r="AA35" s="48"/>
      <c r="AB35" s="48"/>
      <c r="AC35" s="48"/>
      <c r="AD35" s="48"/>
      <c r="AE35" s="48"/>
      <c r="AF35" s="48"/>
      <c r="AG35" s="48"/>
      <c r="AH35" s="48"/>
      <c r="AI35" s="48"/>
      <c r="AJ35" s="48"/>
      <c r="AK35" s="44"/>
      <c r="AL35" s="44"/>
    </row>
    <row r="36" spans="1:38" x14ac:dyDescent="0.25">
      <c r="A36" s="94"/>
      <c r="B36" s="261">
        <v>2</v>
      </c>
      <c r="C36" s="261"/>
      <c r="D36" s="261"/>
      <c r="E36" s="261" t="s">
        <v>52</v>
      </c>
      <c r="F36" s="261"/>
      <c r="G36" s="276"/>
      <c r="H36" s="262"/>
      <c r="I36" s="286"/>
      <c r="J36" s="261"/>
      <c r="K36" s="291"/>
      <c r="L36" s="261"/>
      <c r="M36" s="261"/>
      <c r="N36" s="261"/>
      <c r="O36" s="261"/>
      <c r="P36" s="263"/>
      <c r="Q36" s="263"/>
      <c r="R36" s="44"/>
      <c r="S36" s="49">
        <f t="shared" si="7"/>
        <v>0</v>
      </c>
      <c r="T36" s="126"/>
      <c r="U36" s="48"/>
      <c r="V36" s="48"/>
      <c r="W36" s="48"/>
      <c r="X36" s="48"/>
      <c r="Y36" s="48"/>
      <c r="Z36" s="48"/>
      <c r="AA36" s="48"/>
      <c r="AB36" s="48"/>
      <c r="AC36" s="48"/>
      <c r="AD36" s="48"/>
      <c r="AE36" s="48"/>
      <c r="AF36" s="48"/>
      <c r="AG36" s="48"/>
      <c r="AH36" s="48"/>
      <c r="AI36" s="48"/>
      <c r="AJ36" s="48"/>
      <c r="AK36" s="44"/>
      <c r="AL36" s="44"/>
    </row>
    <row r="37" spans="1:38" ht="27.6" x14ac:dyDescent="0.25">
      <c r="A37" s="94"/>
      <c r="B37" s="265" t="s">
        <v>53</v>
      </c>
      <c r="C37" s="266" t="s">
        <v>54</v>
      </c>
      <c r="D37" s="265" t="s">
        <v>40</v>
      </c>
      <c r="E37" s="265" t="s">
        <v>987</v>
      </c>
      <c r="F37" s="267" t="s">
        <v>55</v>
      </c>
      <c r="G37" s="277">
        <v>135.65</v>
      </c>
      <c r="H37" s="268">
        <f t="shared" ref="H37:H51" si="8">I37+K37</f>
        <v>59.16</v>
      </c>
      <c r="I37" s="287">
        <v>24.98</v>
      </c>
      <c r="J37" s="268">
        <f t="shared" ref="J37:J52" si="9">I37*(1+$M$9)</f>
        <v>31.69</v>
      </c>
      <c r="K37" s="292">
        <v>34.18</v>
      </c>
      <c r="L37" s="268">
        <f t="shared" ref="L37:L52" si="10">K37*(1+$M$9)</f>
        <v>43.36</v>
      </c>
      <c r="M37" s="268">
        <f t="shared" ref="M37:M52" si="11">L37+J37</f>
        <v>75.05</v>
      </c>
      <c r="N37" s="268">
        <f t="shared" ref="N37:N52" si="12">J37*G37</f>
        <v>4298.75</v>
      </c>
      <c r="O37" s="268">
        <f t="shared" ref="O37:O52" si="13">L37*G37</f>
        <v>5881.78</v>
      </c>
      <c r="P37" s="268">
        <f t="shared" ref="P37:P52" si="14">O37+N37</f>
        <v>10180.530000000001</v>
      </c>
      <c r="Q37" s="269">
        <f t="shared" ref="Q37:Q52" si="15">P37/$O$485</f>
        <v>4.0000000000000001E-3</v>
      </c>
      <c r="R37" s="44"/>
      <c r="S37" s="49">
        <f t="shared" si="7"/>
        <v>8025.05</v>
      </c>
      <c r="T37" s="126"/>
      <c r="U37" s="48"/>
      <c r="V37" s="48"/>
      <c r="W37" s="48"/>
      <c r="X37" s="48"/>
      <c r="Y37" s="48"/>
      <c r="Z37" s="48"/>
      <c r="AA37" s="48"/>
      <c r="AB37" s="48"/>
      <c r="AC37" s="48"/>
      <c r="AD37" s="48"/>
      <c r="AE37" s="48"/>
      <c r="AF37" s="48"/>
      <c r="AG37" s="48"/>
      <c r="AH37" s="48"/>
      <c r="AI37" s="48"/>
      <c r="AJ37" s="48"/>
      <c r="AK37" s="44"/>
      <c r="AL37" s="44"/>
    </row>
    <row r="38" spans="1:38" ht="41.4" x14ac:dyDescent="0.25">
      <c r="A38" s="94"/>
      <c r="B38" s="265" t="s">
        <v>56</v>
      </c>
      <c r="C38" s="266" t="s">
        <v>1360</v>
      </c>
      <c r="D38" s="265" t="s">
        <v>40</v>
      </c>
      <c r="E38" s="265" t="s">
        <v>1361</v>
      </c>
      <c r="F38" s="267" t="s">
        <v>59</v>
      </c>
      <c r="G38" s="277">
        <v>190.69</v>
      </c>
      <c r="H38" s="268">
        <f t="shared" si="8"/>
        <v>12.36</v>
      </c>
      <c r="I38" s="287">
        <v>3.76</v>
      </c>
      <c r="J38" s="268">
        <f t="shared" si="9"/>
        <v>4.7699999999999996</v>
      </c>
      <c r="K38" s="292">
        <f>5.17+3.43</f>
        <v>8.6</v>
      </c>
      <c r="L38" s="268">
        <f t="shared" si="10"/>
        <v>10.91</v>
      </c>
      <c r="M38" s="268">
        <f t="shared" si="11"/>
        <v>15.68</v>
      </c>
      <c r="N38" s="268">
        <f t="shared" si="12"/>
        <v>909.59</v>
      </c>
      <c r="O38" s="268">
        <f t="shared" si="13"/>
        <v>2080.4299999999998</v>
      </c>
      <c r="P38" s="268">
        <f t="shared" si="14"/>
        <v>2990.02</v>
      </c>
      <c r="Q38" s="269">
        <f t="shared" si="15"/>
        <v>1.1999999999999999E-3</v>
      </c>
      <c r="R38" s="44"/>
      <c r="S38" s="49">
        <f t="shared" si="7"/>
        <v>2356.9299999999998</v>
      </c>
      <c r="T38" s="126"/>
      <c r="U38" s="48"/>
      <c r="V38" s="48"/>
      <c r="W38" s="48"/>
      <c r="X38" s="48"/>
      <c r="Y38" s="48"/>
      <c r="Z38" s="48"/>
      <c r="AA38" s="48"/>
      <c r="AB38" s="48"/>
      <c r="AC38" s="48"/>
      <c r="AD38" s="48"/>
      <c r="AE38" s="48"/>
      <c r="AF38" s="48"/>
      <c r="AG38" s="48"/>
      <c r="AH38" s="48"/>
      <c r="AI38" s="48"/>
      <c r="AJ38" s="48"/>
      <c r="AK38" s="44"/>
      <c r="AL38" s="44"/>
    </row>
    <row r="39" spans="1:38" x14ac:dyDescent="0.25">
      <c r="A39" s="94"/>
      <c r="B39" s="265" t="s">
        <v>60</v>
      </c>
      <c r="C39" s="266" t="s">
        <v>57</v>
      </c>
      <c r="D39" s="265" t="s">
        <v>40</v>
      </c>
      <c r="E39" s="265" t="s">
        <v>58</v>
      </c>
      <c r="F39" s="267" t="s">
        <v>59</v>
      </c>
      <c r="G39" s="277">
        <v>47.67</v>
      </c>
      <c r="H39" s="268">
        <f t="shared" si="8"/>
        <v>74.400000000000006</v>
      </c>
      <c r="I39" s="287">
        <v>55.12</v>
      </c>
      <c r="J39" s="268">
        <f t="shared" si="9"/>
        <v>69.930000000000007</v>
      </c>
      <c r="K39" s="292">
        <v>19.28</v>
      </c>
      <c r="L39" s="268">
        <f t="shared" si="10"/>
        <v>24.46</v>
      </c>
      <c r="M39" s="268">
        <f t="shared" si="11"/>
        <v>94.39</v>
      </c>
      <c r="N39" s="268">
        <f t="shared" si="12"/>
        <v>3333.56</v>
      </c>
      <c r="O39" s="268">
        <f t="shared" si="13"/>
        <v>1166.01</v>
      </c>
      <c r="P39" s="268">
        <f t="shared" si="14"/>
        <v>4499.57</v>
      </c>
      <c r="Q39" s="269">
        <f t="shared" si="15"/>
        <v>1.8E-3</v>
      </c>
      <c r="R39" s="44"/>
      <c r="S39" s="49">
        <f t="shared" si="7"/>
        <v>3546.65</v>
      </c>
      <c r="T39" s="126"/>
      <c r="U39" s="48"/>
      <c r="V39" s="48"/>
      <c r="W39" s="48"/>
      <c r="X39" s="48"/>
      <c r="Y39" s="48"/>
      <c r="Z39" s="48"/>
      <c r="AA39" s="48"/>
      <c r="AB39" s="48"/>
      <c r="AC39" s="48"/>
      <c r="AD39" s="48"/>
      <c r="AE39" s="48"/>
      <c r="AF39" s="48"/>
      <c r="AG39" s="48"/>
      <c r="AH39" s="48"/>
      <c r="AI39" s="48"/>
      <c r="AJ39" s="48"/>
      <c r="AK39" s="44"/>
      <c r="AL39" s="44"/>
    </row>
    <row r="40" spans="1:38" ht="27.6" x14ac:dyDescent="0.25">
      <c r="A40" s="94"/>
      <c r="B40" s="265" t="s">
        <v>61</v>
      </c>
      <c r="C40" s="266" t="s">
        <v>1345</v>
      </c>
      <c r="D40" s="265" t="s">
        <v>40</v>
      </c>
      <c r="E40" s="265" t="s">
        <v>1346</v>
      </c>
      <c r="F40" s="267" t="s">
        <v>59</v>
      </c>
      <c r="G40" s="277">
        <v>63.85</v>
      </c>
      <c r="H40" s="268">
        <f t="shared" si="8"/>
        <v>169.39</v>
      </c>
      <c r="I40" s="287">
        <v>38.07</v>
      </c>
      <c r="J40" s="268">
        <f t="shared" si="9"/>
        <v>48.3</v>
      </c>
      <c r="K40" s="292">
        <v>131.32</v>
      </c>
      <c r="L40" s="268">
        <f t="shared" si="10"/>
        <v>166.61</v>
      </c>
      <c r="M40" s="268">
        <f t="shared" si="11"/>
        <v>214.91</v>
      </c>
      <c r="N40" s="268">
        <f t="shared" si="12"/>
        <v>3083.96</v>
      </c>
      <c r="O40" s="268">
        <f t="shared" si="13"/>
        <v>10638.05</v>
      </c>
      <c r="P40" s="268">
        <f t="shared" si="14"/>
        <v>13722.01</v>
      </c>
      <c r="Q40" s="269">
        <f t="shared" si="15"/>
        <v>5.4000000000000003E-3</v>
      </c>
      <c r="R40" s="44"/>
      <c r="S40" s="49">
        <f t="shared" si="7"/>
        <v>10815.55</v>
      </c>
      <c r="T40" s="126"/>
      <c r="U40" s="48"/>
      <c r="V40" s="48"/>
      <c r="W40" s="48"/>
      <c r="X40" s="48"/>
      <c r="Y40" s="48"/>
      <c r="Z40" s="48"/>
      <c r="AA40" s="48"/>
      <c r="AB40" s="48"/>
      <c r="AC40" s="48"/>
      <c r="AD40" s="48"/>
      <c r="AE40" s="48"/>
      <c r="AF40" s="48"/>
      <c r="AG40" s="48"/>
      <c r="AH40" s="48"/>
      <c r="AI40" s="48"/>
      <c r="AJ40" s="48"/>
      <c r="AK40" s="44"/>
      <c r="AL40" s="44"/>
    </row>
    <row r="41" spans="1:38" ht="27.6" x14ac:dyDescent="0.25">
      <c r="A41" s="94"/>
      <c r="B41" s="265" t="s">
        <v>62</v>
      </c>
      <c r="C41" s="266" t="s">
        <v>1183</v>
      </c>
      <c r="D41" s="265" t="s">
        <v>40</v>
      </c>
      <c r="E41" s="265" t="s">
        <v>1184</v>
      </c>
      <c r="F41" s="267" t="s">
        <v>41</v>
      </c>
      <c r="G41" s="277">
        <v>465.2</v>
      </c>
      <c r="H41" s="268">
        <f t="shared" si="8"/>
        <v>75.61</v>
      </c>
      <c r="I41" s="287">
        <v>34.17</v>
      </c>
      <c r="J41" s="268">
        <f t="shared" si="9"/>
        <v>43.35</v>
      </c>
      <c r="K41" s="292">
        <f>41.43+0.01</f>
        <v>41.44</v>
      </c>
      <c r="L41" s="268">
        <f t="shared" si="10"/>
        <v>52.57</v>
      </c>
      <c r="M41" s="268">
        <f t="shared" si="11"/>
        <v>95.92</v>
      </c>
      <c r="N41" s="268">
        <f t="shared" si="12"/>
        <v>20166.419999999998</v>
      </c>
      <c r="O41" s="268">
        <f t="shared" si="13"/>
        <v>24455.56</v>
      </c>
      <c r="P41" s="268">
        <f t="shared" si="14"/>
        <v>44621.98</v>
      </c>
      <c r="Q41" s="269">
        <f t="shared" si="15"/>
        <v>1.7600000000000001E-2</v>
      </c>
      <c r="R41" s="44"/>
      <c r="S41" s="49">
        <f t="shared" si="7"/>
        <v>35173.769999999997</v>
      </c>
      <c r="T41" s="126"/>
      <c r="U41" s="48"/>
      <c r="V41" s="48"/>
      <c r="W41" s="48"/>
      <c r="X41" s="48"/>
      <c r="Y41" s="48"/>
      <c r="Z41" s="48"/>
      <c r="AA41" s="48"/>
      <c r="AB41" s="48"/>
      <c r="AC41" s="48"/>
      <c r="AD41" s="48"/>
      <c r="AE41" s="48"/>
      <c r="AF41" s="48"/>
      <c r="AG41" s="48"/>
      <c r="AH41" s="48"/>
      <c r="AI41" s="48"/>
      <c r="AJ41" s="48"/>
      <c r="AK41" s="44"/>
      <c r="AL41" s="44"/>
    </row>
    <row r="42" spans="1:38" x14ac:dyDescent="0.25">
      <c r="A42" s="94"/>
      <c r="B42" s="265" t="s">
        <v>63</v>
      </c>
      <c r="C42" s="266" t="s">
        <v>64</v>
      </c>
      <c r="D42" s="265" t="s">
        <v>40</v>
      </c>
      <c r="E42" s="265" t="s">
        <v>988</v>
      </c>
      <c r="F42" s="267" t="s">
        <v>65</v>
      </c>
      <c r="G42" s="277">
        <v>536</v>
      </c>
      <c r="H42" s="268">
        <f t="shared" si="8"/>
        <v>18.850000000000001</v>
      </c>
      <c r="I42" s="287">
        <v>7.25</v>
      </c>
      <c r="J42" s="268">
        <f t="shared" si="9"/>
        <v>9.1999999999999993</v>
      </c>
      <c r="K42" s="292">
        <v>11.6</v>
      </c>
      <c r="L42" s="268">
        <f t="shared" si="10"/>
        <v>14.72</v>
      </c>
      <c r="M42" s="268">
        <f t="shared" si="11"/>
        <v>23.92</v>
      </c>
      <c r="N42" s="268">
        <f t="shared" si="12"/>
        <v>4931.2</v>
      </c>
      <c r="O42" s="268">
        <f t="shared" si="13"/>
        <v>7889.92</v>
      </c>
      <c r="P42" s="268">
        <f t="shared" si="14"/>
        <v>12821.12</v>
      </c>
      <c r="Q42" s="269">
        <f t="shared" si="15"/>
        <v>5.1000000000000004E-3</v>
      </c>
      <c r="R42" s="44"/>
      <c r="S42" s="49">
        <f t="shared" si="7"/>
        <v>10103.6</v>
      </c>
      <c r="T42" s="126"/>
      <c r="U42" s="48"/>
      <c r="V42" s="48"/>
      <c r="W42" s="48"/>
      <c r="X42" s="48"/>
      <c r="Y42" s="48"/>
      <c r="Z42" s="48"/>
      <c r="AA42" s="48"/>
      <c r="AB42" s="48"/>
      <c r="AC42" s="48"/>
      <c r="AD42" s="48"/>
      <c r="AE42" s="48"/>
      <c r="AF42" s="48"/>
      <c r="AG42" s="48"/>
      <c r="AH42" s="48"/>
      <c r="AI42" s="48"/>
      <c r="AJ42" s="48"/>
      <c r="AK42" s="44"/>
      <c r="AL42" s="44"/>
    </row>
    <row r="43" spans="1:38" x14ac:dyDescent="0.25">
      <c r="A43" s="94"/>
      <c r="B43" s="265" t="s">
        <v>66</v>
      </c>
      <c r="C43" s="266" t="s">
        <v>757</v>
      </c>
      <c r="D43" s="265" t="s">
        <v>40</v>
      </c>
      <c r="E43" s="265" t="s">
        <v>989</v>
      </c>
      <c r="F43" s="267" t="s">
        <v>65</v>
      </c>
      <c r="G43" s="277">
        <v>41.3</v>
      </c>
      <c r="H43" s="268">
        <f t="shared" si="8"/>
        <v>17.350000000000001</v>
      </c>
      <c r="I43" s="287">
        <v>5.33</v>
      </c>
      <c r="J43" s="268">
        <f t="shared" si="9"/>
        <v>6.76</v>
      </c>
      <c r="K43" s="292">
        <v>12.02</v>
      </c>
      <c r="L43" s="268">
        <f t="shared" si="10"/>
        <v>15.25</v>
      </c>
      <c r="M43" s="268">
        <f t="shared" si="11"/>
        <v>22.01</v>
      </c>
      <c r="N43" s="268">
        <f t="shared" si="12"/>
        <v>279.19</v>
      </c>
      <c r="O43" s="268">
        <f t="shared" si="13"/>
        <v>629.83000000000004</v>
      </c>
      <c r="P43" s="268">
        <f t="shared" si="14"/>
        <v>909.02</v>
      </c>
      <c r="Q43" s="269">
        <f t="shared" si="15"/>
        <v>4.0000000000000002E-4</v>
      </c>
      <c r="R43" s="44"/>
      <c r="S43" s="49">
        <f t="shared" si="7"/>
        <v>716.56</v>
      </c>
      <c r="T43" s="126"/>
      <c r="U43" s="48"/>
      <c r="V43" s="48"/>
      <c r="W43" s="48"/>
      <c r="X43" s="48"/>
      <c r="Y43" s="48"/>
      <c r="Z43" s="48"/>
      <c r="AA43" s="48"/>
      <c r="AB43" s="48"/>
      <c r="AC43" s="48"/>
      <c r="AD43" s="48"/>
      <c r="AE43" s="48"/>
      <c r="AF43" s="48"/>
      <c r="AG43" s="48"/>
      <c r="AH43" s="48"/>
      <c r="AI43" s="48"/>
      <c r="AJ43" s="48"/>
      <c r="AK43" s="44"/>
      <c r="AL43" s="44"/>
    </row>
    <row r="44" spans="1:38" x14ac:dyDescent="0.25">
      <c r="A44" s="94"/>
      <c r="B44" s="265" t="s">
        <v>67</v>
      </c>
      <c r="C44" s="266" t="s">
        <v>68</v>
      </c>
      <c r="D44" s="265" t="s">
        <v>40</v>
      </c>
      <c r="E44" s="265" t="s">
        <v>990</v>
      </c>
      <c r="F44" s="267" t="s">
        <v>65</v>
      </c>
      <c r="G44" s="277">
        <v>395.2</v>
      </c>
      <c r="H44" s="268">
        <f t="shared" si="8"/>
        <v>15.9</v>
      </c>
      <c r="I44" s="287">
        <v>3.9</v>
      </c>
      <c r="J44" s="268">
        <f t="shared" si="9"/>
        <v>4.95</v>
      </c>
      <c r="K44" s="292">
        <v>12</v>
      </c>
      <c r="L44" s="268">
        <f t="shared" si="10"/>
        <v>15.22</v>
      </c>
      <c r="M44" s="268">
        <f t="shared" si="11"/>
        <v>20.170000000000002</v>
      </c>
      <c r="N44" s="268">
        <f t="shared" si="12"/>
        <v>1956.24</v>
      </c>
      <c r="O44" s="268">
        <f t="shared" si="13"/>
        <v>6014.94</v>
      </c>
      <c r="P44" s="268">
        <f t="shared" si="14"/>
        <v>7971.18</v>
      </c>
      <c r="Q44" s="269">
        <f t="shared" si="15"/>
        <v>3.2000000000000002E-3</v>
      </c>
      <c r="R44" s="44"/>
      <c r="S44" s="49">
        <f t="shared" si="7"/>
        <v>6283.68</v>
      </c>
      <c r="T44" s="126"/>
      <c r="U44" s="48"/>
      <c r="V44" s="48"/>
      <c r="W44" s="48"/>
      <c r="X44" s="48"/>
      <c r="Y44" s="48"/>
      <c r="Z44" s="48"/>
      <c r="AA44" s="48"/>
      <c r="AB44" s="48"/>
      <c r="AC44" s="48"/>
      <c r="AD44" s="48"/>
      <c r="AE44" s="48"/>
      <c r="AF44" s="48"/>
      <c r="AG44" s="48"/>
      <c r="AH44" s="48"/>
      <c r="AI44" s="48"/>
      <c r="AJ44" s="48"/>
      <c r="AK44" s="44"/>
      <c r="AL44" s="44"/>
    </row>
    <row r="45" spans="1:38" x14ac:dyDescent="0.25">
      <c r="A45" s="94"/>
      <c r="B45" s="265" t="s">
        <v>69</v>
      </c>
      <c r="C45" s="266" t="s">
        <v>70</v>
      </c>
      <c r="D45" s="265" t="s">
        <v>40</v>
      </c>
      <c r="E45" s="265" t="s">
        <v>991</v>
      </c>
      <c r="F45" s="267" t="s">
        <v>65</v>
      </c>
      <c r="G45" s="277">
        <v>2221</v>
      </c>
      <c r="H45" s="268">
        <f t="shared" si="8"/>
        <v>14.03</v>
      </c>
      <c r="I45" s="287">
        <v>2.93</v>
      </c>
      <c r="J45" s="268">
        <f t="shared" si="9"/>
        <v>3.72</v>
      </c>
      <c r="K45" s="292">
        <v>11.1</v>
      </c>
      <c r="L45" s="268">
        <f t="shared" si="10"/>
        <v>14.08</v>
      </c>
      <c r="M45" s="268">
        <f t="shared" si="11"/>
        <v>17.8</v>
      </c>
      <c r="N45" s="268">
        <f t="shared" si="12"/>
        <v>8262.1200000000008</v>
      </c>
      <c r="O45" s="268">
        <f t="shared" si="13"/>
        <v>31271.68</v>
      </c>
      <c r="P45" s="268">
        <f t="shared" si="14"/>
        <v>39533.800000000003</v>
      </c>
      <c r="Q45" s="269">
        <f t="shared" si="15"/>
        <v>1.5599999999999999E-2</v>
      </c>
      <c r="R45" s="44"/>
      <c r="S45" s="49">
        <f t="shared" si="7"/>
        <v>31160.63</v>
      </c>
      <c r="T45" s="126"/>
      <c r="U45" s="48"/>
      <c r="V45" s="48"/>
      <c r="W45" s="48"/>
      <c r="X45" s="48"/>
      <c r="Y45" s="48"/>
      <c r="Z45" s="48"/>
      <c r="AA45" s="48"/>
      <c r="AB45" s="48"/>
      <c r="AC45" s="48"/>
      <c r="AD45" s="48"/>
      <c r="AE45" s="48"/>
      <c r="AF45" s="48"/>
      <c r="AG45" s="48"/>
      <c r="AH45" s="48"/>
      <c r="AI45" s="48"/>
      <c r="AJ45" s="48"/>
      <c r="AK45" s="44"/>
      <c r="AL45" s="44"/>
    </row>
    <row r="46" spans="1:38" ht="27.6" x14ac:dyDescent="0.25">
      <c r="A46" s="94"/>
      <c r="B46" s="265" t="s">
        <v>71</v>
      </c>
      <c r="C46" s="266" t="s">
        <v>992</v>
      </c>
      <c r="D46" s="265" t="s">
        <v>40</v>
      </c>
      <c r="E46" s="265" t="s">
        <v>993</v>
      </c>
      <c r="F46" s="267" t="s">
        <v>65</v>
      </c>
      <c r="G46" s="277">
        <v>425.3</v>
      </c>
      <c r="H46" s="268">
        <f t="shared" si="8"/>
        <v>11.01</v>
      </c>
      <c r="I46" s="287">
        <v>1.62</v>
      </c>
      <c r="J46" s="268">
        <f t="shared" si="9"/>
        <v>2.06</v>
      </c>
      <c r="K46" s="292">
        <v>9.39</v>
      </c>
      <c r="L46" s="268">
        <f t="shared" si="10"/>
        <v>11.91</v>
      </c>
      <c r="M46" s="268">
        <f t="shared" si="11"/>
        <v>13.97</v>
      </c>
      <c r="N46" s="268">
        <f t="shared" si="12"/>
        <v>876.12</v>
      </c>
      <c r="O46" s="268">
        <f t="shared" si="13"/>
        <v>5065.32</v>
      </c>
      <c r="P46" s="268">
        <f t="shared" si="14"/>
        <v>5941.44</v>
      </c>
      <c r="Q46" s="269">
        <f t="shared" si="15"/>
        <v>2.3E-3</v>
      </c>
      <c r="R46" s="44"/>
      <c r="S46" s="49">
        <f t="shared" si="7"/>
        <v>4682.55</v>
      </c>
      <c r="T46" s="126"/>
      <c r="U46" s="48"/>
      <c r="V46" s="48"/>
      <c r="W46" s="48"/>
      <c r="X46" s="48"/>
      <c r="Y46" s="48"/>
      <c r="Z46" s="48"/>
      <c r="AA46" s="48"/>
      <c r="AB46" s="48"/>
      <c r="AC46" s="48"/>
      <c r="AD46" s="48"/>
      <c r="AE46" s="48"/>
      <c r="AF46" s="48"/>
      <c r="AG46" s="48"/>
      <c r="AH46" s="48"/>
      <c r="AI46" s="48"/>
      <c r="AJ46" s="48"/>
      <c r="AK46" s="44"/>
      <c r="AL46" s="44"/>
    </row>
    <row r="47" spans="1:38" ht="27.6" x14ac:dyDescent="0.25">
      <c r="A47" s="94"/>
      <c r="B47" s="265" t="s">
        <v>72</v>
      </c>
      <c r="C47" s="266" t="s">
        <v>994</v>
      </c>
      <c r="D47" s="265" t="s">
        <v>40</v>
      </c>
      <c r="E47" s="265" t="s">
        <v>995</v>
      </c>
      <c r="F47" s="267" t="s">
        <v>65</v>
      </c>
      <c r="G47" s="277">
        <v>531.5</v>
      </c>
      <c r="H47" s="268">
        <f t="shared" si="8"/>
        <v>11.66</v>
      </c>
      <c r="I47" s="287">
        <v>0.93</v>
      </c>
      <c r="J47" s="268">
        <f t="shared" si="9"/>
        <v>1.18</v>
      </c>
      <c r="K47" s="292">
        <v>10.73</v>
      </c>
      <c r="L47" s="268">
        <f t="shared" si="10"/>
        <v>13.61</v>
      </c>
      <c r="M47" s="268">
        <f t="shared" si="11"/>
        <v>14.79</v>
      </c>
      <c r="N47" s="268">
        <f t="shared" si="12"/>
        <v>627.16999999999996</v>
      </c>
      <c r="O47" s="268">
        <f t="shared" si="13"/>
        <v>7233.72</v>
      </c>
      <c r="P47" s="268">
        <f t="shared" si="14"/>
        <v>7860.89</v>
      </c>
      <c r="Q47" s="269">
        <f t="shared" si="15"/>
        <v>3.0999999999999999E-3</v>
      </c>
      <c r="R47" s="44"/>
      <c r="S47" s="49">
        <f t="shared" si="7"/>
        <v>6197.29</v>
      </c>
      <c r="T47" s="126"/>
      <c r="U47" s="48"/>
      <c r="V47" s="48"/>
      <c r="W47" s="48"/>
      <c r="X47" s="48"/>
      <c r="Y47" s="48"/>
      <c r="Z47" s="48"/>
      <c r="AA47" s="48"/>
      <c r="AB47" s="48"/>
      <c r="AC47" s="48"/>
      <c r="AD47" s="48"/>
      <c r="AE47" s="48"/>
      <c r="AF47" s="48"/>
      <c r="AG47" s="48"/>
      <c r="AH47" s="48"/>
      <c r="AI47" s="48"/>
      <c r="AJ47" s="44"/>
      <c r="AK47" s="44"/>
      <c r="AL47" s="44"/>
    </row>
    <row r="48" spans="1:38" ht="27.6" x14ac:dyDescent="0.25">
      <c r="A48" s="94"/>
      <c r="B48" s="265" t="s">
        <v>73</v>
      </c>
      <c r="C48" s="266" t="s">
        <v>1423</v>
      </c>
      <c r="D48" s="265" t="s">
        <v>40</v>
      </c>
      <c r="E48" s="265" t="s">
        <v>1424</v>
      </c>
      <c r="F48" s="267" t="s">
        <v>59</v>
      </c>
      <c r="G48" s="277">
        <v>76.2</v>
      </c>
      <c r="H48" s="268">
        <f t="shared" si="8"/>
        <v>674.09</v>
      </c>
      <c r="I48" s="287">
        <v>13.14</v>
      </c>
      <c r="J48" s="268">
        <f t="shared" si="9"/>
        <v>16.670000000000002</v>
      </c>
      <c r="K48" s="292">
        <f>0.09+660.82+0.04</f>
        <v>660.95</v>
      </c>
      <c r="L48" s="268">
        <f t="shared" si="10"/>
        <v>838.55</v>
      </c>
      <c r="M48" s="268">
        <f t="shared" si="11"/>
        <v>855.22</v>
      </c>
      <c r="N48" s="268">
        <f t="shared" si="12"/>
        <v>1270.25</v>
      </c>
      <c r="O48" s="268">
        <f t="shared" si="13"/>
        <v>63897.51</v>
      </c>
      <c r="P48" s="268">
        <f t="shared" si="14"/>
        <v>65167.76</v>
      </c>
      <c r="Q48" s="269">
        <f t="shared" si="15"/>
        <v>2.58E-2</v>
      </c>
      <c r="R48" s="44"/>
      <c r="S48" s="49">
        <f t="shared" si="7"/>
        <v>51365.66</v>
      </c>
      <c r="T48" s="126"/>
      <c r="U48" s="48"/>
      <c r="V48" s="48"/>
      <c r="W48" s="48"/>
      <c r="X48" s="48"/>
      <c r="Y48" s="48"/>
      <c r="Z48" s="48"/>
      <c r="AA48" s="48"/>
      <c r="AB48" s="48"/>
      <c r="AC48" s="48"/>
      <c r="AD48" s="48"/>
      <c r="AE48" s="48"/>
      <c r="AF48" s="48"/>
      <c r="AG48" s="48"/>
      <c r="AH48" s="48"/>
      <c r="AI48" s="48"/>
      <c r="AJ48" s="44"/>
      <c r="AK48" s="44"/>
      <c r="AL48" s="44"/>
    </row>
    <row r="49" spans="1:38" x14ac:dyDescent="0.25">
      <c r="A49" s="94"/>
      <c r="B49" s="265" t="s">
        <v>74</v>
      </c>
      <c r="C49" s="266" t="s">
        <v>75</v>
      </c>
      <c r="D49" s="265" t="s">
        <v>40</v>
      </c>
      <c r="E49" s="265" t="s">
        <v>76</v>
      </c>
      <c r="F49" s="267" t="s">
        <v>59</v>
      </c>
      <c r="G49" s="277">
        <v>347.81</v>
      </c>
      <c r="H49" s="268">
        <f t="shared" si="8"/>
        <v>1.34</v>
      </c>
      <c r="I49" s="287">
        <v>0.28000000000000003</v>
      </c>
      <c r="J49" s="268">
        <f t="shared" si="9"/>
        <v>0.36</v>
      </c>
      <c r="K49" s="292">
        <f>0.78+0.28</f>
        <v>1.06</v>
      </c>
      <c r="L49" s="268">
        <f t="shared" si="10"/>
        <v>1.34</v>
      </c>
      <c r="M49" s="268">
        <f t="shared" si="11"/>
        <v>1.7</v>
      </c>
      <c r="N49" s="268">
        <f t="shared" si="12"/>
        <v>125.21</v>
      </c>
      <c r="O49" s="268">
        <f t="shared" si="13"/>
        <v>466.07</v>
      </c>
      <c r="P49" s="268">
        <f t="shared" si="14"/>
        <v>591.28</v>
      </c>
      <c r="Q49" s="269">
        <f t="shared" si="15"/>
        <v>2.0000000000000001E-4</v>
      </c>
      <c r="R49" s="44"/>
      <c r="S49" s="49">
        <f t="shared" si="7"/>
        <v>466.07</v>
      </c>
      <c r="T49" s="85"/>
      <c r="U49" s="48"/>
      <c r="V49" s="48"/>
      <c r="W49" s="48"/>
      <c r="X49" s="48"/>
      <c r="Y49" s="48"/>
      <c r="Z49" s="48"/>
      <c r="AA49" s="48"/>
      <c r="AB49" s="48"/>
      <c r="AC49" s="48"/>
      <c r="AD49" s="48"/>
      <c r="AE49" s="48"/>
      <c r="AF49" s="48"/>
      <c r="AG49" s="48"/>
      <c r="AH49" s="48"/>
      <c r="AI49" s="48"/>
      <c r="AJ49" s="44"/>
      <c r="AK49" s="44"/>
      <c r="AL49" s="44"/>
    </row>
    <row r="50" spans="1:38" x14ac:dyDescent="0.25">
      <c r="A50" s="94"/>
      <c r="B50" s="265" t="s">
        <v>758</v>
      </c>
      <c r="C50" s="266" t="s">
        <v>77</v>
      </c>
      <c r="D50" s="265" t="s">
        <v>40</v>
      </c>
      <c r="E50" s="265" t="s">
        <v>78</v>
      </c>
      <c r="F50" s="267" t="s">
        <v>59</v>
      </c>
      <c r="G50" s="277">
        <v>284.54000000000002</v>
      </c>
      <c r="H50" s="268">
        <f t="shared" si="8"/>
        <v>125.86</v>
      </c>
      <c r="I50" s="287">
        <v>8.74</v>
      </c>
      <c r="J50" s="268">
        <f t="shared" si="9"/>
        <v>11.09</v>
      </c>
      <c r="K50" s="292">
        <f>110.18+6.94</f>
        <v>117.12</v>
      </c>
      <c r="L50" s="268">
        <f t="shared" si="10"/>
        <v>148.59</v>
      </c>
      <c r="M50" s="268">
        <f t="shared" si="11"/>
        <v>159.68</v>
      </c>
      <c r="N50" s="268">
        <f t="shared" si="12"/>
        <v>3155.55</v>
      </c>
      <c r="O50" s="268">
        <f t="shared" si="13"/>
        <v>42279.8</v>
      </c>
      <c r="P50" s="268">
        <f t="shared" si="14"/>
        <v>45435.35</v>
      </c>
      <c r="Q50" s="269">
        <f t="shared" si="15"/>
        <v>1.7999999999999999E-2</v>
      </c>
      <c r="R50" s="44"/>
      <c r="S50" s="49">
        <f t="shared" si="7"/>
        <v>35812.199999999997</v>
      </c>
      <c r="T50" s="126"/>
      <c r="U50" s="48"/>
      <c r="V50" s="48"/>
      <c r="W50" s="48"/>
      <c r="X50" s="48"/>
      <c r="Y50" s="48"/>
      <c r="Z50" s="48"/>
      <c r="AA50" s="48"/>
      <c r="AB50" s="48"/>
      <c r="AC50" s="48"/>
      <c r="AD50" s="48"/>
      <c r="AE50" s="48"/>
      <c r="AF50" s="48"/>
      <c r="AG50" s="48"/>
      <c r="AH50" s="48"/>
      <c r="AI50" s="48"/>
      <c r="AJ50" s="44"/>
      <c r="AK50" s="44"/>
      <c r="AL50" s="44"/>
    </row>
    <row r="51" spans="1:38" x14ac:dyDescent="0.25">
      <c r="A51" s="94"/>
      <c r="B51" s="265" t="s">
        <v>759</v>
      </c>
      <c r="C51" s="266" t="s">
        <v>79</v>
      </c>
      <c r="D51" s="265" t="s">
        <v>40</v>
      </c>
      <c r="E51" s="265" t="s">
        <v>80</v>
      </c>
      <c r="F51" s="267" t="s">
        <v>41</v>
      </c>
      <c r="G51" s="277">
        <v>463.02</v>
      </c>
      <c r="H51" s="268">
        <f t="shared" si="8"/>
        <v>41.38</v>
      </c>
      <c r="I51" s="287">
        <v>9.39</v>
      </c>
      <c r="J51" s="268">
        <f t="shared" si="9"/>
        <v>11.91</v>
      </c>
      <c r="K51" s="292">
        <v>31.99</v>
      </c>
      <c r="L51" s="268">
        <f t="shared" si="10"/>
        <v>40.590000000000003</v>
      </c>
      <c r="M51" s="268">
        <f t="shared" si="11"/>
        <v>52.5</v>
      </c>
      <c r="N51" s="268">
        <f t="shared" si="12"/>
        <v>5514.57</v>
      </c>
      <c r="O51" s="268">
        <f t="shared" si="13"/>
        <v>18793.98</v>
      </c>
      <c r="P51" s="268">
        <f t="shared" si="14"/>
        <v>24308.55</v>
      </c>
      <c r="Q51" s="269">
        <f t="shared" si="15"/>
        <v>9.5999999999999992E-3</v>
      </c>
      <c r="R51" s="44"/>
      <c r="S51" s="49">
        <f t="shared" si="7"/>
        <v>19159.77</v>
      </c>
      <c r="T51" s="126"/>
      <c r="U51" s="48"/>
      <c r="V51" s="48"/>
      <c r="W51" s="48"/>
      <c r="X51" s="48"/>
      <c r="Y51" s="48"/>
      <c r="Z51" s="48"/>
      <c r="AA51" s="48"/>
      <c r="AB51" s="48"/>
      <c r="AC51" s="48"/>
      <c r="AD51" s="48"/>
      <c r="AE51" s="48"/>
      <c r="AF51" s="48"/>
      <c r="AG51" s="48"/>
      <c r="AH51" s="48"/>
      <c r="AI51" s="48"/>
      <c r="AJ51" s="44"/>
      <c r="AK51" s="44"/>
      <c r="AL51" s="44"/>
    </row>
    <row r="52" spans="1:38" x14ac:dyDescent="0.25">
      <c r="A52" s="94"/>
      <c r="B52" s="265" t="s">
        <v>1362</v>
      </c>
      <c r="C52" s="266" t="s">
        <v>81</v>
      </c>
      <c r="D52" s="265" t="s">
        <v>51</v>
      </c>
      <c r="E52" s="265" t="s">
        <v>82</v>
      </c>
      <c r="F52" s="267" t="s">
        <v>59</v>
      </c>
      <c r="G52" s="277">
        <v>76.2</v>
      </c>
      <c r="H52" s="268">
        <v>92.53</v>
      </c>
      <c r="I52" s="287">
        <f>1.12+1.33</f>
        <v>2.4500000000000002</v>
      </c>
      <c r="J52" s="268">
        <f t="shared" si="9"/>
        <v>3.11</v>
      </c>
      <c r="K52" s="292">
        <f>H52-I52</f>
        <v>90.08</v>
      </c>
      <c r="L52" s="268">
        <f t="shared" si="10"/>
        <v>114.28</v>
      </c>
      <c r="M52" s="268">
        <f t="shared" si="11"/>
        <v>117.39</v>
      </c>
      <c r="N52" s="268">
        <f t="shared" si="12"/>
        <v>236.98</v>
      </c>
      <c r="O52" s="268">
        <f t="shared" si="13"/>
        <v>8708.14</v>
      </c>
      <c r="P52" s="268">
        <f t="shared" si="14"/>
        <v>8945.1200000000008</v>
      </c>
      <c r="Q52" s="269">
        <f t="shared" si="15"/>
        <v>3.5000000000000001E-3</v>
      </c>
      <c r="R52" s="44"/>
      <c r="S52" s="49">
        <f t="shared" si="7"/>
        <v>7050.79</v>
      </c>
      <c r="T52" s="126"/>
      <c r="U52" s="48"/>
      <c r="V52" s="48"/>
      <c r="W52" s="48"/>
      <c r="X52" s="48"/>
      <c r="Y52" s="48"/>
      <c r="Z52" s="48"/>
      <c r="AA52" s="48"/>
      <c r="AB52" s="48"/>
      <c r="AC52" s="48"/>
      <c r="AD52" s="48"/>
      <c r="AE52" s="48"/>
      <c r="AF52" s="48"/>
      <c r="AG52" s="48"/>
      <c r="AH52" s="48"/>
      <c r="AI52" s="48"/>
      <c r="AJ52" s="44"/>
      <c r="AK52" s="44"/>
      <c r="AL52" s="44"/>
    </row>
    <row r="53" spans="1:38" x14ac:dyDescent="0.25">
      <c r="A53" s="94"/>
      <c r="B53" s="261">
        <v>3</v>
      </c>
      <c r="C53" s="261"/>
      <c r="D53" s="261"/>
      <c r="E53" s="261" t="s">
        <v>83</v>
      </c>
      <c r="F53" s="261"/>
      <c r="G53" s="276"/>
      <c r="H53" s="262"/>
      <c r="I53" s="286"/>
      <c r="J53" s="261"/>
      <c r="K53" s="291"/>
      <c r="L53" s="261"/>
      <c r="M53" s="261"/>
      <c r="N53" s="261"/>
      <c r="O53" s="261"/>
      <c r="P53" s="263"/>
      <c r="Q53" s="263"/>
      <c r="R53" s="44"/>
      <c r="S53" s="49">
        <f t="shared" si="7"/>
        <v>0</v>
      </c>
      <c r="T53" s="85"/>
      <c r="U53" s="48"/>
      <c r="V53" s="48"/>
      <c r="W53" s="48"/>
      <c r="X53" s="48"/>
      <c r="Y53" s="48"/>
      <c r="Z53" s="48"/>
      <c r="AA53" s="48"/>
      <c r="AB53" s="48"/>
      <c r="AC53" s="48"/>
      <c r="AD53" s="48"/>
      <c r="AE53" s="48"/>
      <c r="AF53" s="48"/>
      <c r="AG53" s="48"/>
      <c r="AH53" s="48"/>
      <c r="AI53" s="48"/>
      <c r="AJ53" s="44"/>
      <c r="AK53" s="44"/>
      <c r="AL53" s="44"/>
    </row>
    <row r="54" spans="1:38" ht="15.6" x14ac:dyDescent="0.25">
      <c r="A54" s="136"/>
      <c r="B54" s="261" t="s">
        <v>84</v>
      </c>
      <c r="C54" s="261"/>
      <c r="D54" s="261"/>
      <c r="E54" s="261" t="s">
        <v>85</v>
      </c>
      <c r="F54" s="261"/>
      <c r="G54" s="276"/>
      <c r="H54" s="262"/>
      <c r="I54" s="286"/>
      <c r="J54" s="261"/>
      <c r="K54" s="291"/>
      <c r="L54" s="261"/>
      <c r="M54" s="261"/>
      <c r="N54" s="261"/>
      <c r="O54" s="261"/>
      <c r="P54" s="263"/>
      <c r="Q54" s="263"/>
      <c r="R54" s="44"/>
      <c r="S54" s="49">
        <f t="shared" si="7"/>
        <v>0</v>
      </c>
      <c r="T54" s="137"/>
      <c r="U54" s="66"/>
      <c r="V54" s="66"/>
      <c r="W54" s="66"/>
      <c r="X54" s="66"/>
      <c r="Y54" s="66"/>
      <c r="Z54" s="66"/>
      <c r="AA54" s="66"/>
      <c r="AB54" s="66"/>
      <c r="AC54" s="66"/>
      <c r="AD54" s="66"/>
      <c r="AE54" s="66"/>
      <c r="AF54" s="66"/>
      <c r="AG54" s="66"/>
      <c r="AH54" s="66"/>
      <c r="AI54" s="66"/>
      <c r="AJ54" s="9"/>
      <c r="AK54" s="44"/>
      <c r="AL54" s="44"/>
    </row>
    <row r="55" spans="1:38" ht="27.6" x14ac:dyDescent="0.25">
      <c r="A55" s="94"/>
      <c r="B55" s="265" t="s">
        <v>86</v>
      </c>
      <c r="C55" s="266" t="s">
        <v>996</v>
      </c>
      <c r="D55" s="265" t="s">
        <v>40</v>
      </c>
      <c r="E55" s="265" t="s">
        <v>997</v>
      </c>
      <c r="F55" s="267" t="s">
        <v>41</v>
      </c>
      <c r="G55" s="277">
        <v>263.8</v>
      </c>
      <c r="H55" s="268">
        <f>I55+K55</f>
        <v>71.48</v>
      </c>
      <c r="I55" s="287">
        <v>21.76</v>
      </c>
      <c r="J55" s="268">
        <f t="shared" ref="J55:J61" si="16">I55*(1+$M$9)</f>
        <v>27.61</v>
      </c>
      <c r="K55" s="292">
        <f>20.22+29.49+0.01</f>
        <v>49.72</v>
      </c>
      <c r="L55" s="268">
        <f t="shared" ref="L55:L61" si="17">K55*(1+$M$9)</f>
        <v>63.08</v>
      </c>
      <c r="M55" s="268">
        <f t="shared" ref="M55:M61" si="18">L55+J55</f>
        <v>90.69</v>
      </c>
      <c r="N55" s="268">
        <f t="shared" ref="N55:N61" si="19">J55*G55</f>
        <v>7283.52</v>
      </c>
      <c r="O55" s="268">
        <f t="shared" ref="O55:O61" si="20">L55*G55</f>
        <v>16640.5</v>
      </c>
      <c r="P55" s="268">
        <f t="shared" ref="P55:P61" si="21">O55+N55</f>
        <v>23924.02</v>
      </c>
      <c r="Q55" s="269">
        <f t="shared" ref="Q55:Q61" si="22">P55/$O$485</f>
        <v>9.4999999999999998E-3</v>
      </c>
      <c r="R55" s="44"/>
      <c r="S55" s="49">
        <f t="shared" si="7"/>
        <v>18856.419999999998</v>
      </c>
      <c r="T55" s="126"/>
      <c r="U55" s="48"/>
      <c r="V55" s="48"/>
      <c r="W55" s="48"/>
      <c r="X55" s="48"/>
      <c r="Y55" s="48"/>
      <c r="Z55" s="48"/>
      <c r="AA55" s="48"/>
      <c r="AB55" s="48"/>
      <c r="AC55" s="48"/>
      <c r="AD55" s="48"/>
      <c r="AE55" s="48"/>
      <c r="AF55" s="48"/>
      <c r="AG55" s="48"/>
      <c r="AH55" s="48"/>
      <c r="AI55" s="48"/>
      <c r="AJ55" s="44"/>
      <c r="AK55" s="44"/>
      <c r="AL55" s="44"/>
    </row>
    <row r="56" spans="1:38" ht="27.6" customHeight="1" x14ac:dyDescent="0.25">
      <c r="A56" s="94"/>
      <c r="B56" s="265" t="s">
        <v>87</v>
      </c>
      <c r="C56" s="266" t="s">
        <v>88</v>
      </c>
      <c r="D56" s="265" t="s">
        <v>40</v>
      </c>
      <c r="E56" s="265" t="s">
        <v>89</v>
      </c>
      <c r="F56" s="267" t="s">
        <v>65</v>
      </c>
      <c r="G56" s="277">
        <v>621.1</v>
      </c>
      <c r="H56" s="268">
        <f>I56+K56</f>
        <v>11.51</v>
      </c>
      <c r="I56" s="287">
        <v>0.96</v>
      </c>
      <c r="J56" s="268">
        <f t="shared" si="16"/>
        <v>1.22</v>
      </c>
      <c r="K56" s="292">
        <v>10.55</v>
      </c>
      <c r="L56" s="268">
        <f t="shared" si="17"/>
        <v>13.38</v>
      </c>
      <c r="M56" s="268">
        <f t="shared" si="18"/>
        <v>14.6</v>
      </c>
      <c r="N56" s="268">
        <f t="shared" si="19"/>
        <v>757.74</v>
      </c>
      <c r="O56" s="268">
        <f t="shared" si="20"/>
        <v>8310.32</v>
      </c>
      <c r="P56" s="268">
        <f t="shared" si="21"/>
        <v>9068.06</v>
      </c>
      <c r="Q56" s="269">
        <f t="shared" si="22"/>
        <v>3.5999999999999999E-3</v>
      </c>
      <c r="R56" s="44"/>
      <c r="S56" s="49">
        <f t="shared" si="7"/>
        <v>7148.86</v>
      </c>
      <c r="T56" s="126"/>
      <c r="U56" s="48"/>
      <c r="V56" s="48"/>
      <c r="W56" s="48"/>
      <c r="X56" s="48"/>
      <c r="Y56" s="48"/>
      <c r="Z56" s="48"/>
      <c r="AA56" s="48"/>
      <c r="AB56" s="48"/>
      <c r="AC56" s="48"/>
      <c r="AD56" s="48"/>
      <c r="AE56" s="48"/>
      <c r="AF56" s="48"/>
      <c r="AG56" s="48"/>
      <c r="AH56" s="48"/>
      <c r="AI56" s="48"/>
      <c r="AJ56" s="44"/>
      <c r="AK56" s="44"/>
      <c r="AL56" s="44"/>
    </row>
    <row r="57" spans="1:38" ht="27.6" x14ac:dyDescent="0.25">
      <c r="A57" s="94"/>
      <c r="B57" s="265" t="s">
        <v>90</v>
      </c>
      <c r="C57" s="266">
        <v>92763</v>
      </c>
      <c r="D57" s="265" t="s">
        <v>40</v>
      </c>
      <c r="E57" s="265" t="s">
        <v>92</v>
      </c>
      <c r="F57" s="267" t="s">
        <v>65</v>
      </c>
      <c r="G57" s="277">
        <v>165.1</v>
      </c>
      <c r="H57" s="268">
        <f>I57+K57</f>
        <v>9.7200000000000006</v>
      </c>
      <c r="I57" s="287">
        <v>0.61</v>
      </c>
      <c r="J57" s="268">
        <f t="shared" si="16"/>
        <v>0.77</v>
      </c>
      <c r="K57" s="292">
        <v>9.11</v>
      </c>
      <c r="L57" s="268">
        <f t="shared" si="17"/>
        <v>11.56</v>
      </c>
      <c r="M57" s="268">
        <f t="shared" si="18"/>
        <v>12.33</v>
      </c>
      <c r="N57" s="268">
        <f t="shared" si="19"/>
        <v>127.13</v>
      </c>
      <c r="O57" s="268">
        <f t="shared" si="20"/>
        <v>1908.56</v>
      </c>
      <c r="P57" s="268">
        <f t="shared" si="21"/>
        <v>2035.69</v>
      </c>
      <c r="Q57" s="269">
        <f t="shared" si="22"/>
        <v>8.0000000000000004E-4</v>
      </c>
      <c r="R57" s="44"/>
      <c r="S57" s="49">
        <f t="shared" si="7"/>
        <v>1604.77</v>
      </c>
      <c r="T57" s="126"/>
      <c r="U57" s="48"/>
      <c r="V57" s="48"/>
      <c r="W57" s="48"/>
      <c r="X57" s="48"/>
      <c r="Y57" s="48"/>
      <c r="Z57" s="48"/>
      <c r="AA57" s="48"/>
      <c r="AB57" s="48"/>
      <c r="AC57" s="48"/>
      <c r="AD57" s="48"/>
      <c r="AE57" s="48"/>
      <c r="AF57" s="48"/>
      <c r="AG57" s="48"/>
      <c r="AH57" s="48"/>
      <c r="AI57" s="48"/>
      <c r="AJ57" s="44"/>
      <c r="AK57" s="44"/>
      <c r="AL57" s="44"/>
    </row>
    <row r="58" spans="1:38" ht="27.6" x14ac:dyDescent="0.25">
      <c r="A58" s="94"/>
      <c r="B58" s="265" t="s">
        <v>93</v>
      </c>
      <c r="C58" s="266" t="s">
        <v>94</v>
      </c>
      <c r="D58" s="265" t="s">
        <v>40</v>
      </c>
      <c r="E58" s="265" t="s">
        <v>95</v>
      </c>
      <c r="F58" s="267" t="s">
        <v>65</v>
      </c>
      <c r="G58" s="277">
        <v>176</v>
      </c>
      <c r="H58" s="268">
        <f>I58+K58</f>
        <v>9.4499999999999993</v>
      </c>
      <c r="I58" s="287">
        <v>0.43</v>
      </c>
      <c r="J58" s="268">
        <f t="shared" si="16"/>
        <v>0.55000000000000004</v>
      </c>
      <c r="K58" s="292">
        <v>9.02</v>
      </c>
      <c r="L58" s="268">
        <f t="shared" si="17"/>
        <v>11.44</v>
      </c>
      <c r="M58" s="268">
        <f t="shared" si="18"/>
        <v>11.99</v>
      </c>
      <c r="N58" s="268">
        <f t="shared" si="19"/>
        <v>96.8</v>
      </c>
      <c r="O58" s="268">
        <f t="shared" si="20"/>
        <v>2013.44</v>
      </c>
      <c r="P58" s="268">
        <f t="shared" si="21"/>
        <v>2110.2399999999998</v>
      </c>
      <c r="Q58" s="269">
        <f t="shared" si="22"/>
        <v>8.0000000000000004E-4</v>
      </c>
      <c r="R58" s="44"/>
      <c r="S58" s="49">
        <f t="shared" si="7"/>
        <v>1663.2</v>
      </c>
      <c r="T58" s="126"/>
      <c r="U58" s="48"/>
      <c r="V58" s="48"/>
      <c r="W58" s="48"/>
      <c r="X58" s="48"/>
      <c r="Y58" s="48"/>
      <c r="Z58" s="48"/>
      <c r="AA58" s="48"/>
      <c r="AB58" s="48"/>
      <c r="AC58" s="48"/>
      <c r="AD58" s="48"/>
      <c r="AE58" s="48"/>
      <c r="AF58" s="48"/>
      <c r="AG58" s="48"/>
      <c r="AH58" s="48"/>
      <c r="AI58" s="48"/>
      <c r="AJ58" s="44"/>
      <c r="AK58" s="44"/>
      <c r="AL58" s="44"/>
    </row>
    <row r="59" spans="1:38" ht="27.6" x14ac:dyDescent="0.25">
      <c r="A59" s="94"/>
      <c r="B59" s="265" t="s">
        <v>96</v>
      </c>
      <c r="C59" s="266">
        <v>92759</v>
      </c>
      <c r="D59" s="265" t="s">
        <v>40</v>
      </c>
      <c r="E59" s="265" t="s">
        <v>98</v>
      </c>
      <c r="F59" s="267" t="s">
        <v>65</v>
      </c>
      <c r="G59" s="277">
        <v>391.4</v>
      </c>
      <c r="H59" s="268">
        <f>I59+K59</f>
        <v>13.92</v>
      </c>
      <c r="I59" s="287">
        <v>3.41</v>
      </c>
      <c r="J59" s="268">
        <f t="shared" si="16"/>
        <v>4.33</v>
      </c>
      <c r="K59" s="292">
        <v>10.51</v>
      </c>
      <c r="L59" s="268">
        <f t="shared" si="17"/>
        <v>13.33</v>
      </c>
      <c r="M59" s="268">
        <f t="shared" si="18"/>
        <v>17.66</v>
      </c>
      <c r="N59" s="268">
        <f t="shared" si="19"/>
        <v>1694.76</v>
      </c>
      <c r="O59" s="268">
        <f t="shared" si="20"/>
        <v>5217.3599999999997</v>
      </c>
      <c r="P59" s="268">
        <f t="shared" si="21"/>
        <v>6912.12</v>
      </c>
      <c r="Q59" s="269">
        <f t="shared" si="22"/>
        <v>2.7000000000000001E-3</v>
      </c>
      <c r="R59" s="44"/>
      <c r="S59" s="49">
        <f t="shared" si="7"/>
        <v>5448.29</v>
      </c>
      <c r="T59" s="126"/>
      <c r="U59" s="48"/>
      <c r="V59" s="48"/>
      <c r="W59" s="48"/>
      <c r="X59" s="48"/>
      <c r="Y59" s="48"/>
      <c r="Z59" s="48"/>
      <c r="AA59" s="48"/>
      <c r="AB59" s="48"/>
      <c r="AC59" s="48"/>
      <c r="AD59" s="48"/>
      <c r="AE59" s="48"/>
      <c r="AF59" s="48"/>
      <c r="AG59" s="48"/>
      <c r="AH59" s="48"/>
      <c r="AI59" s="48"/>
      <c r="AJ59" s="44"/>
      <c r="AK59" s="44"/>
      <c r="AL59" s="44"/>
    </row>
    <row r="60" spans="1:38" ht="27.6" x14ac:dyDescent="0.25">
      <c r="A60" s="94"/>
      <c r="B60" s="265" t="s">
        <v>99</v>
      </c>
      <c r="C60" s="266" t="s">
        <v>998</v>
      </c>
      <c r="D60" s="265" t="s">
        <v>100</v>
      </c>
      <c r="E60" s="265" t="s">
        <v>999</v>
      </c>
      <c r="F60" s="267" t="s">
        <v>59</v>
      </c>
      <c r="G60" s="277">
        <v>17.399999999999999</v>
      </c>
      <c r="H60" s="268">
        <f>CPUS!L26</f>
        <v>624.83000000000004</v>
      </c>
      <c r="I60" s="287">
        <f>CPUS!H33</f>
        <v>35.76</v>
      </c>
      <c r="J60" s="268">
        <f t="shared" si="16"/>
        <v>45.37</v>
      </c>
      <c r="K60" s="292">
        <f>H60-I60</f>
        <v>589.07000000000005</v>
      </c>
      <c r="L60" s="268">
        <f t="shared" si="17"/>
        <v>747.35</v>
      </c>
      <c r="M60" s="268">
        <f t="shared" si="18"/>
        <v>792.72</v>
      </c>
      <c r="N60" s="268">
        <f t="shared" si="19"/>
        <v>789.44</v>
      </c>
      <c r="O60" s="268">
        <f t="shared" si="20"/>
        <v>13003.89</v>
      </c>
      <c r="P60" s="268">
        <f t="shared" si="21"/>
        <v>13793.33</v>
      </c>
      <c r="Q60" s="269">
        <f t="shared" si="22"/>
        <v>5.4999999999999997E-3</v>
      </c>
      <c r="R60" s="44"/>
      <c r="S60" s="49">
        <f t="shared" si="7"/>
        <v>10872.04</v>
      </c>
      <c r="T60" s="126"/>
      <c r="U60" s="48"/>
      <c r="V60" s="48"/>
      <c r="W60" s="48"/>
      <c r="X60" s="48"/>
      <c r="Y60" s="48"/>
      <c r="Z60" s="48"/>
      <c r="AA60" s="48"/>
      <c r="AB60" s="48"/>
      <c r="AC60" s="48"/>
      <c r="AD60" s="48"/>
      <c r="AE60" s="48"/>
      <c r="AF60" s="48"/>
      <c r="AG60" s="48"/>
      <c r="AH60" s="48"/>
      <c r="AI60" s="48"/>
      <c r="AJ60" s="44"/>
      <c r="AK60" s="44"/>
      <c r="AL60" s="44"/>
    </row>
    <row r="61" spans="1:38" x14ac:dyDescent="0.25">
      <c r="A61" s="258"/>
      <c r="B61" s="265" t="s">
        <v>101</v>
      </c>
      <c r="C61" s="266" t="s">
        <v>81</v>
      </c>
      <c r="D61" s="265" t="s">
        <v>51</v>
      </c>
      <c r="E61" s="265" t="s">
        <v>82</v>
      </c>
      <c r="F61" s="267" t="s">
        <v>59</v>
      </c>
      <c r="G61" s="277">
        <v>17.399999999999999</v>
      </c>
      <c r="H61" s="268">
        <f>H52</f>
        <v>92.53</v>
      </c>
      <c r="I61" s="287">
        <f>I52</f>
        <v>2.4500000000000002</v>
      </c>
      <c r="J61" s="268">
        <f t="shared" si="16"/>
        <v>3.11</v>
      </c>
      <c r="K61" s="292">
        <f>K52</f>
        <v>90.08</v>
      </c>
      <c r="L61" s="268">
        <f t="shared" si="17"/>
        <v>114.28</v>
      </c>
      <c r="M61" s="268">
        <f t="shared" si="18"/>
        <v>117.39</v>
      </c>
      <c r="N61" s="268">
        <f t="shared" si="19"/>
        <v>54.11</v>
      </c>
      <c r="O61" s="268">
        <f t="shared" si="20"/>
        <v>1988.47</v>
      </c>
      <c r="P61" s="268">
        <f t="shared" si="21"/>
        <v>2042.58</v>
      </c>
      <c r="Q61" s="269">
        <f t="shared" si="22"/>
        <v>8.0000000000000004E-4</v>
      </c>
      <c r="R61" s="44"/>
      <c r="S61" s="49">
        <f t="shared" si="7"/>
        <v>1610.02</v>
      </c>
      <c r="T61" s="126"/>
      <c r="U61" s="48"/>
      <c r="V61" s="48"/>
      <c r="W61" s="48"/>
      <c r="X61" s="48"/>
      <c r="Y61" s="48"/>
      <c r="Z61" s="48"/>
      <c r="AA61" s="48"/>
      <c r="AB61" s="48"/>
      <c r="AC61" s="48"/>
      <c r="AD61" s="48"/>
      <c r="AE61" s="48"/>
      <c r="AF61" s="48"/>
      <c r="AG61" s="48"/>
      <c r="AH61" s="48"/>
      <c r="AI61" s="48"/>
      <c r="AJ61" s="44"/>
      <c r="AK61" s="44"/>
      <c r="AL61" s="44"/>
    </row>
    <row r="62" spans="1:38" ht="15.6" x14ac:dyDescent="0.25">
      <c r="A62" s="259"/>
      <c r="B62" s="261" t="s">
        <v>102</v>
      </c>
      <c r="C62" s="261"/>
      <c r="D62" s="261"/>
      <c r="E62" s="261" t="s">
        <v>103</v>
      </c>
      <c r="F62" s="261"/>
      <c r="G62" s="276"/>
      <c r="H62" s="262"/>
      <c r="I62" s="286"/>
      <c r="J62" s="261"/>
      <c r="K62" s="291"/>
      <c r="L62" s="261"/>
      <c r="M62" s="261"/>
      <c r="N62" s="261"/>
      <c r="O62" s="261"/>
      <c r="P62" s="263"/>
      <c r="Q62" s="263"/>
      <c r="R62" s="44"/>
      <c r="S62" s="49">
        <f t="shared" si="7"/>
        <v>0</v>
      </c>
      <c r="T62" s="137"/>
      <c r="U62" s="66"/>
      <c r="V62" s="66"/>
      <c r="W62" s="66"/>
      <c r="X62" s="66"/>
      <c r="Y62" s="66"/>
      <c r="Z62" s="66"/>
      <c r="AA62" s="66"/>
      <c r="AB62" s="66"/>
      <c r="AC62" s="66"/>
      <c r="AD62" s="66"/>
      <c r="AE62" s="66"/>
      <c r="AF62" s="66"/>
      <c r="AG62" s="66"/>
      <c r="AH62" s="66"/>
      <c r="AI62" s="66"/>
      <c r="AJ62" s="9"/>
      <c r="AK62" s="44"/>
      <c r="AL62" s="44"/>
    </row>
    <row r="63" spans="1:38" ht="27.6" customHeight="1" x14ac:dyDescent="0.25">
      <c r="A63" s="258"/>
      <c r="B63" s="265" t="s">
        <v>104</v>
      </c>
      <c r="C63" s="266" t="s">
        <v>1000</v>
      </c>
      <c r="D63" s="265" t="s">
        <v>40</v>
      </c>
      <c r="E63" s="265" t="s">
        <v>1001</v>
      </c>
      <c r="F63" s="267" t="s">
        <v>41</v>
      </c>
      <c r="G63" s="277">
        <v>325.10000000000002</v>
      </c>
      <c r="H63" s="268">
        <f t="shared" ref="H63:H70" si="23">I63+K63</f>
        <v>125.06</v>
      </c>
      <c r="I63" s="287">
        <v>39.26</v>
      </c>
      <c r="J63" s="268">
        <f t="shared" ref="J63:J72" si="24">I63*(1+$M$9)</f>
        <v>49.81</v>
      </c>
      <c r="K63" s="292">
        <f>45.95+39.85</f>
        <v>85.8</v>
      </c>
      <c r="L63" s="268">
        <f t="shared" ref="L63:L72" si="25">K63*(1+$M$9)</f>
        <v>108.85</v>
      </c>
      <c r="M63" s="268">
        <f t="shared" ref="M63:M72" si="26">L63+J63</f>
        <v>158.66</v>
      </c>
      <c r="N63" s="268">
        <f t="shared" ref="N63:N72" si="27">J63*G63</f>
        <v>16193.23</v>
      </c>
      <c r="O63" s="268">
        <f t="shared" ref="O63:O72" si="28">L63*G63</f>
        <v>35387.14</v>
      </c>
      <c r="P63" s="268">
        <f t="shared" ref="P63:P72" si="29">O63+N63</f>
        <v>51580.37</v>
      </c>
      <c r="Q63" s="269">
        <f t="shared" ref="Q63:Q72" si="30">P63/$O$485</f>
        <v>2.0400000000000001E-2</v>
      </c>
      <c r="R63" s="44"/>
      <c r="S63" s="49">
        <f t="shared" si="7"/>
        <v>40657.01</v>
      </c>
      <c r="T63" s="126"/>
      <c r="U63" s="48"/>
      <c r="V63" s="48"/>
      <c r="W63" s="48"/>
      <c r="X63" s="48"/>
      <c r="Y63" s="48"/>
      <c r="Z63" s="48"/>
      <c r="AA63" s="48"/>
      <c r="AB63" s="48"/>
      <c r="AC63" s="48"/>
      <c r="AD63" s="48"/>
      <c r="AE63" s="48"/>
      <c r="AF63" s="48"/>
      <c r="AG63" s="48"/>
      <c r="AH63" s="48"/>
      <c r="AI63" s="48"/>
      <c r="AJ63" s="44"/>
      <c r="AK63" s="44"/>
      <c r="AL63" s="44"/>
    </row>
    <row r="64" spans="1:38" ht="27.6" x14ac:dyDescent="0.25">
      <c r="A64" s="94"/>
      <c r="B64" s="265" t="s">
        <v>105</v>
      </c>
      <c r="C64" s="266" t="s">
        <v>106</v>
      </c>
      <c r="D64" s="265" t="s">
        <v>40</v>
      </c>
      <c r="E64" s="265" t="s">
        <v>107</v>
      </c>
      <c r="F64" s="267" t="s">
        <v>65</v>
      </c>
      <c r="G64" s="277">
        <v>18.7</v>
      </c>
      <c r="H64" s="268">
        <f t="shared" si="23"/>
        <v>13.43</v>
      </c>
      <c r="I64" s="287">
        <v>2.2599999999999998</v>
      </c>
      <c r="J64" s="268">
        <f t="shared" si="24"/>
        <v>2.87</v>
      </c>
      <c r="K64" s="292">
        <v>11.17</v>
      </c>
      <c r="L64" s="268">
        <f t="shared" si="25"/>
        <v>14.17</v>
      </c>
      <c r="M64" s="268">
        <f t="shared" si="26"/>
        <v>17.04</v>
      </c>
      <c r="N64" s="268">
        <f t="shared" si="27"/>
        <v>53.67</v>
      </c>
      <c r="O64" s="268">
        <f t="shared" si="28"/>
        <v>264.98</v>
      </c>
      <c r="P64" s="268">
        <f t="shared" si="29"/>
        <v>318.64999999999998</v>
      </c>
      <c r="Q64" s="269">
        <f t="shared" si="30"/>
        <v>1E-4</v>
      </c>
      <c r="R64" s="44"/>
      <c r="S64" s="49">
        <f t="shared" si="7"/>
        <v>251.14</v>
      </c>
      <c r="T64" s="126"/>
      <c r="U64" s="48"/>
      <c r="V64" s="48"/>
      <c r="W64" s="48"/>
      <c r="X64" s="48"/>
      <c r="Y64" s="48"/>
      <c r="Z64" s="48"/>
      <c r="AA64" s="48"/>
      <c r="AB64" s="48"/>
      <c r="AC64" s="48"/>
      <c r="AD64" s="48"/>
      <c r="AE64" s="48"/>
      <c r="AF64" s="48"/>
      <c r="AG64" s="48"/>
      <c r="AH64" s="48"/>
      <c r="AI64" s="48"/>
      <c r="AJ64" s="44"/>
      <c r="AK64" s="44"/>
      <c r="AL64" s="44"/>
    </row>
    <row r="65" spans="1:38" ht="27.6" x14ac:dyDescent="0.25">
      <c r="A65" s="94"/>
      <c r="B65" s="265" t="s">
        <v>108</v>
      </c>
      <c r="C65" s="266" t="s">
        <v>109</v>
      </c>
      <c r="D65" s="265" t="s">
        <v>40</v>
      </c>
      <c r="E65" s="265" t="s">
        <v>110</v>
      </c>
      <c r="F65" s="267" t="s">
        <v>65</v>
      </c>
      <c r="G65" s="277">
        <v>518.70000000000005</v>
      </c>
      <c r="H65" s="268">
        <f t="shared" si="23"/>
        <v>12.81</v>
      </c>
      <c r="I65" s="287">
        <v>1.48</v>
      </c>
      <c r="J65" s="268">
        <f t="shared" si="24"/>
        <v>1.88</v>
      </c>
      <c r="K65" s="292">
        <v>11.33</v>
      </c>
      <c r="L65" s="268">
        <f t="shared" si="25"/>
        <v>14.37</v>
      </c>
      <c r="M65" s="268">
        <f t="shared" si="26"/>
        <v>16.25</v>
      </c>
      <c r="N65" s="268">
        <f t="shared" si="27"/>
        <v>975.16</v>
      </c>
      <c r="O65" s="268">
        <f t="shared" si="28"/>
        <v>7453.72</v>
      </c>
      <c r="P65" s="268">
        <f t="shared" si="29"/>
        <v>8428.8799999999992</v>
      </c>
      <c r="Q65" s="269">
        <f t="shared" si="30"/>
        <v>3.3E-3</v>
      </c>
      <c r="R65" s="44"/>
      <c r="S65" s="49">
        <f t="shared" si="7"/>
        <v>6644.55</v>
      </c>
      <c r="T65" s="126"/>
      <c r="U65" s="48"/>
      <c r="V65" s="48"/>
      <c r="W65" s="48"/>
      <c r="X65" s="48"/>
      <c r="Y65" s="48"/>
      <c r="Z65" s="48"/>
      <c r="AA65" s="48"/>
      <c r="AB65" s="48"/>
      <c r="AC65" s="48"/>
      <c r="AD65" s="48"/>
      <c r="AE65" s="48"/>
      <c r="AF65" s="48"/>
      <c r="AG65" s="48"/>
      <c r="AH65" s="48"/>
      <c r="AI65" s="48"/>
      <c r="AJ65" s="44"/>
      <c r="AK65" s="44"/>
      <c r="AL65" s="44"/>
    </row>
    <row r="66" spans="1:38" ht="27.6" x14ac:dyDescent="0.25">
      <c r="A66" s="94"/>
      <c r="B66" s="265" t="s">
        <v>111</v>
      </c>
      <c r="C66" s="266" t="s">
        <v>88</v>
      </c>
      <c r="D66" s="265" t="s">
        <v>40</v>
      </c>
      <c r="E66" s="265" t="s">
        <v>89</v>
      </c>
      <c r="F66" s="267" t="s">
        <v>65</v>
      </c>
      <c r="G66" s="277">
        <v>668.5</v>
      </c>
      <c r="H66" s="268">
        <f t="shared" si="23"/>
        <v>11.51</v>
      </c>
      <c r="I66" s="287">
        <v>0.96</v>
      </c>
      <c r="J66" s="268">
        <f t="shared" si="24"/>
        <v>1.22</v>
      </c>
      <c r="K66" s="292">
        <v>10.55</v>
      </c>
      <c r="L66" s="268">
        <f t="shared" si="25"/>
        <v>13.38</v>
      </c>
      <c r="M66" s="268">
        <f t="shared" si="26"/>
        <v>14.6</v>
      </c>
      <c r="N66" s="268">
        <f t="shared" si="27"/>
        <v>815.57</v>
      </c>
      <c r="O66" s="268">
        <f t="shared" si="28"/>
        <v>8944.5300000000007</v>
      </c>
      <c r="P66" s="268">
        <f t="shared" si="29"/>
        <v>9760.1</v>
      </c>
      <c r="Q66" s="269">
        <f t="shared" si="30"/>
        <v>3.8999999999999998E-3</v>
      </c>
      <c r="R66" s="44"/>
      <c r="S66" s="49">
        <f t="shared" si="7"/>
        <v>7694.44</v>
      </c>
      <c r="T66" s="126"/>
      <c r="U66" s="48"/>
      <c r="V66" s="48"/>
      <c r="W66" s="48"/>
      <c r="X66" s="48"/>
      <c r="Y66" s="48"/>
      <c r="Z66" s="48"/>
      <c r="AA66" s="48"/>
      <c r="AB66" s="48"/>
      <c r="AC66" s="48"/>
      <c r="AD66" s="48"/>
      <c r="AE66" s="48"/>
      <c r="AF66" s="48"/>
      <c r="AG66" s="48"/>
      <c r="AH66" s="48"/>
      <c r="AI66" s="48"/>
      <c r="AJ66" s="44"/>
      <c r="AK66" s="44"/>
      <c r="AL66" s="44"/>
    </row>
    <row r="67" spans="1:38" ht="27.6" x14ac:dyDescent="0.25">
      <c r="A67" s="94"/>
      <c r="B67" s="265" t="s">
        <v>112</v>
      </c>
      <c r="C67" s="266" t="s">
        <v>91</v>
      </c>
      <c r="D67" s="265" t="s">
        <v>40</v>
      </c>
      <c r="E67" s="265" t="s">
        <v>92</v>
      </c>
      <c r="F67" s="267" t="s">
        <v>65</v>
      </c>
      <c r="G67" s="277">
        <v>766</v>
      </c>
      <c r="H67" s="268">
        <f t="shared" si="23"/>
        <v>9.7200000000000006</v>
      </c>
      <c r="I67" s="287">
        <v>0.61</v>
      </c>
      <c r="J67" s="268">
        <f t="shared" si="24"/>
        <v>0.77</v>
      </c>
      <c r="K67" s="292">
        <v>9.11</v>
      </c>
      <c r="L67" s="268">
        <f t="shared" si="25"/>
        <v>11.56</v>
      </c>
      <c r="M67" s="268">
        <f t="shared" si="26"/>
        <v>12.33</v>
      </c>
      <c r="N67" s="268">
        <f t="shared" si="27"/>
        <v>589.82000000000005</v>
      </c>
      <c r="O67" s="268">
        <f t="shared" si="28"/>
        <v>8854.9599999999991</v>
      </c>
      <c r="P67" s="268">
        <f t="shared" si="29"/>
        <v>9444.7800000000007</v>
      </c>
      <c r="Q67" s="269">
        <f t="shared" si="30"/>
        <v>3.7000000000000002E-3</v>
      </c>
      <c r="R67" s="44"/>
      <c r="S67" s="49">
        <f t="shared" si="7"/>
        <v>7445.52</v>
      </c>
      <c r="T67" s="126"/>
      <c r="U67" s="48"/>
      <c r="V67" s="48"/>
      <c r="W67" s="48"/>
      <c r="X67" s="48"/>
      <c r="Y67" s="48"/>
      <c r="Z67" s="48"/>
      <c r="AA67" s="48"/>
      <c r="AB67" s="48"/>
      <c r="AC67" s="48"/>
      <c r="AD67" s="48"/>
      <c r="AE67" s="48"/>
      <c r="AF67" s="48"/>
      <c r="AG67" s="48"/>
      <c r="AH67" s="48"/>
      <c r="AI67" s="48"/>
      <c r="AJ67" s="44"/>
      <c r="AK67" s="44"/>
      <c r="AL67" s="44"/>
    </row>
    <row r="68" spans="1:38" ht="27.6" x14ac:dyDescent="0.25">
      <c r="A68" s="94"/>
      <c r="B68" s="265" t="s">
        <v>113</v>
      </c>
      <c r="C68" s="266" t="s">
        <v>94</v>
      </c>
      <c r="D68" s="265" t="s">
        <v>40</v>
      </c>
      <c r="E68" s="265" t="s">
        <v>95</v>
      </c>
      <c r="F68" s="267" t="s">
        <v>65</v>
      </c>
      <c r="G68" s="277">
        <v>501.2</v>
      </c>
      <c r="H68" s="268">
        <f t="shared" si="23"/>
        <v>9.4499999999999993</v>
      </c>
      <c r="I68" s="287">
        <v>0.43</v>
      </c>
      <c r="J68" s="268">
        <f t="shared" si="24"/>
        <v>0.55000000000000004</v>
      </c>
      <c r="K68" s="292">
        <v>9.02</v>
      </c>
      <c r="L68" s="268">
        <f t="shared" si="25"/>
        <v>11.44</v>
      </c>
      <c r="M68" s="268">
        <f t="shared" si="26"/>
        <v>11.99</v>
      </c>
      <c r="N68" s="268">
        <f t="shared" si="27"/>
        <v>275.66000000000003</v>
      </c>
      <c r="O68" s="268">
        <f t="shared" si="28"/>
        <v>5733.73</v>
      </c>
      <c r="P68" s="268">
        <f t="shared" si="29"/>
        <v>6009.39</v>
      </c>
      <c r="Q68" s="269">
        <f t="shared" si="30"/>
        <v>2.3999999999999998E-3</v>
      </c>
      <c r="R68" s="44"/>
      <c r="S68" s="49">
        <f t="shared" si="7"/>
        <v>4736.34</v>
      </c>
      <c r="T68" s="126"/>
      <c r="U68" s="48"/>
      <c r="V68" s="48"/>
      <c r="W68" s="48"/>
      <c r="X68" s="48"/>
      <c r="Y68" s="48"/>
      <c r="Z68" s="48"/>
      <c r="AA68" s="48"/>
      <c r="AB68" s="48"/>
      <c r="AC68" s="48"/>
      <c r="AD68" s="48"/>
      <c r="AE68" s="48"/>
      <c r="AF68" s="48"/>
      <c r="AG68" s="48"/>
      <c r="AH68" s="48"/>
      <c r="AI68" s="48"/>
      <c r="AJ68" s="44"/>
      <c r="AK68" s="44"/>
      <c r="AL68" s="44"/>
    </row>
    <row r="69" spans="1:38" ht="27.6" x14ac:dyDescent="0.25">
      <c r="A69" s="94"/>
      <c r="B69" s="265" t="s">
        <v>114</v>
      </c>
      <c r="C69" s="266" t="s">
        <v>1447</v>
      </c>
      <c r="D69" s="265" t="s">
        <v>40</v>
      </c>
      <c r="E69" s="265" t="s">
        <v>1448</v>
      </c>
      <c r="F69" s="267" t="s">
        <v>65</v>
      </c>
      <c r="G69" s="277">
        <v>93.4</v>
      </c>
      <c r="H69" s="268">
        <f t="shared" si="23"/>
        <v>10.84</v>
      </c>
      <c r="I69" s="287">
        <v>0.32</v>
      </c>
      <c r="J69" s="268">
        <f t="shared" si="24"/>
        <v>0.41</v>
      </c>
      <c r="K69" s="292">
        <v>10.52</v>
      </c>
      <c r="L69" s="268">
        <f t="shared" si="25"/>
        <v>13.35</v>
      </c>
      <c r="M69" s="268">
        <f t="shared" si="26"/>
        <v>13.76</v>
      </c>
      <c r="N69" s="268">
        <f t="shared" si="27"/>
        <v>38.29</v>
      </c>
      <c r="O69" s="268">
        <f t="shared" si="28"/>
        <v>1246.8900000000001</v>
      </c>
      <c r="P69" s="268">
        <f t="shared" si="29"/>
        <v>1285.18</v>
      </c>
      <c r="Q69" s="269">
        <f t="shared" si="30"/>
        <v>5.0000000000000001E-4</v>
      </c>
      <c r="R69" s="44"/>
      <c r="S69" s="49">
        <f t="shared" si="7"/>
        <v>1012.46</v>
      </c>
      <c r="T69" s="126"/>
      <c r="U69" s="48"/>
      <c r="V69" s="48"/>
      <c r="W69" s="48"/>
      <c r="X69" s="48"/>
      <c r="Y69" s="48"/>
      <c r="Z69" s="48"/>
      <c r="AA69" s="48"/>
      <c r="AB69" s="48"/>
      <c r="AC69" s="48"/>
      <c r="AD69" s="48"/>
      <c r="AE69" s="48"/>
      <c r="AF69" s="48"/>
      <c r="AG69" s="48"/>
      <c r="AH69" s="48"/>
      <c r="AI69" s="48"/>
      <c r="AJ69" s="44"/>
      <c r="AK69" s="44"/>
      <c r="AL69" s="44"/>
    </row>
    <row r="70" spans="1:38" ht="27.6" x14ac:dyDescent="0.25">
      <c r="A70" s="94"/>
      <c r="B70" s="265" t="s">
        <v>115</v>
      </c>
      <c r="C70" s="266" t="s">
        <v>97</v>
      </c>
      <c r="D70" s="265" t="s">
        <v>40</v>
      </c>
      <c r="E70" s="265" t="s">
        <v>98</v>
      </c>
      <c r="F70" s="267" t="s">
        <v>65</v>
      </c>
      <c r="G70" s="277">
        <v>519.20000000000005</v>
      </c>
      <c r="H70" s="268">
        <f t="shared" si="23"/>
        <v>13.92</v>
      </c>
      <c r="I70" s="287">
        <v>3.41</v>
      </c>
      <c r="J70" s="268">
        <f t="shared" si="24"/>
        <v>4.33</v>
      </c>
      <c r="K70" s="292">
        <v>10.51</v>
      </c>
      <c r="L70" s="268">
        <f t="shared" si="25"/>
        <v>13.33</v>
      </c>
      <c r="M70" s="268">
        <f t="shared" si="26"/>
        <v>17.66</v>
      </c>
      <c r="N70" s="268">
        <f t="shared" si="27"/>
        <v>2248.14</v>
      </c>
      <c r="O70" s="268">
        <f t="shared" si="28"/>
        <v>6920.94</v>
      </c>
      <c r="P70" s="268">
        <f t="shared" si="29"/>
        <v>9169.08</v>
      </c>
      <c r="Q70" s="269">
        <f t="shared" si="30"/>
        <v>3.5999999999999999E-3</v>
      </c>
      <c r="R70" s="44"/>
      <c r="S70" s="49">
        <f t="shared" si="7"/>
        <v>7227.26</v>
      </c>
      <c r="T70" s="126"/>
      <c r="U70" s="48"/>
      <c r="V70" s="48"/>
      <c r="W70" s="48"/>
      <c r="X70" s="48"/>
      <c r="Y70" s="48"/>
      <c r="Z70" s="48"/>
      <c r="AA70" s="48"/>
      <c r="AB70" s="48"/>
      <c r="AC70" s="48"/>
      <c r="AD70" s="48"/>
      <c r="AE70" s="48"/>
      <c r="AF70" s="48"/>
      <c r="AG70" s="48"/>
      <c r="AH70" s="48"/>
      <c r="AI70" s="48"/>
      <c r="AJ70" s="44"/>
      <c r="AK70" s="44"/>
      <c r="AL70" s="44"/>
    </row>
    <row r="71" spans="1:38" ht="27.6" x14ac:dyDescent="0.25">
      <c r="A71" s="94"/>
      <c r="B71" s="265" t="s">
        <v>116</v>
      </c>
      <c r="C71" s="266" t="s">
        <v>1002</v>
      </c>
      <c r="D71" s="265" t="s">
        <v>100</v>
      </c>
      <c r="E71" s="265" t="s">
        <v>1003</v>
      </c>
      <c r="F71" s="267" t="s">
        <v>59</v>
      </c>
      <c r="G71" s="277">
        <v>36.9</v>
      </c>
      <c r="H71" s="268">
        <f>CPUS!L37</f>
        <v>625.25</v>
      </c>
      <c r="I71" s="287">
        <f>CPUS!H44</f>
        <v>36.15</v>
      </c>
      <c r="J71" s="268">
        <f t="shared" si="24"/>
        <v>45.86</v>
      </c>
      <c r="K71" s="292">
        <f>H71-I71</f>
        <v>589.1</v>
      </c>
      <c r="L71" s="268">
        <f t="shared" si="25"/>
        <v>747.39</v>
      </c>
      <c r="M71" s="268">
        <f t="shared" si="26"/>
        <v>793.25</v>
      </c>
      <c r="N71" s="268">
        <f t="shared" si="27"/>
        <v>1692.23</v>
      </c>
      <c r="O71" s="268">
        <f t="shared" si="28"/>
        <v>27578.69</v>
      </c>
      <c r="P71" s="268">
        <f t="shared" si="29"/>
        <v>29270.92</v>
      </c>
      <c r="Q71" s="269">
        <f t="shared" si="30"/>
        <v>1.1599999999999999E-2</v>
      </c>
      <c r="R71" s="44"/>
      <c r="S71" s="49">
        <f t="shared" si="7"/>
        <v>23071.73</v>
      </c>
      <c r="T71" s="85"/>
      <c r="U71" s="48"/>
      <c r="V71" s="48"/>
      <c r="W71" s="48"/>
      <c r="X71" s="48"/>
      <c r="Y71" s="48"/>
      <c r="Z71" s="48"/>
      <c r="AA71" s="48"/>
      <c r="AB71" s="48"/>
      <c r="AC71" s="48"/>
      <c r="AD71" s="48"/>
      <c r="AE71" s="48"/>
      <c r="AF71" s="48"/>
      <c r="AG71" s="48"/>
      <c r="AH71" s="48"/>
      <c r="AI71" s="48"/>
      <c r="AJ71" s="44"/>
      <c r="AK71" s="44"/>
      <c r="AL71" s="44"/>
    </row>
    <row r="72" spans="1:38" x14ac:dyDescent="0.25">
      <c r="A72" s="94"/>
      <c r="B72" s="265" t="s">
        <v>1449</v>
      </c>
      <c r="C72" s="266" t="s">
        <v>81</v>
      </c>
      <c r="D72" s="265" t="s">
        <v>51</v>
      </c>
      <c r="E72" s="265" t="s">
        <v>82</v>
      </c>
      <c r="F72" s="267" t="s">
        <v>59</v>
      </c>
      <c r="G72" s="277">
        <v>36.9</v>
      </c>
      <c r="H72" s="268">
        <f>H61</f>
        <v>92.53</v>
      </c>
      <c r="I72" s="287">
        <f>I61</f>
        <v>2.4500000000000002</v>
      </c>
      <c r="J72" s="268">
        <f t="shared" si="24"/>
        <v>3.11</v>
      </c>
      <c r="K72" s="292">
        <f>K61</f>
        <v>90.08</v>
      </c>
      <c r="L72" s="268">
        <f t="shared" si="25"/>
        <v>114.28</v>
      </c>
      <c r="M72" s="268">
        <f t="shared" si="26"/>
        <v>117.39</v>
      </c>
      <c r="N72" s="268">
        <f t="shared" si="27"/>
        <v>114.76</v>
      </c>
      <c r="O72" s="268">
        <f t="shared" si="28"/>
        <v>4216.93</v>
      </c>
      <c r="P72" s="268">
        <f t="shared" si="29"/>
        <v>4331.6899999999996</v>
      </c>
      <c r="Q72" s="269">
        <f t="shared" si="30"/>
        <v>1.6999999999999999E-3</v>
      </c>
      <c r="R72" s="44"/>
      <c r="S72" s="49">
        <f t="shared" si="7"/>
        <v>3414.36</v>
      </c>
      <c r="T72" s="126"/>
      <c r="U72" s="48"/>
      <c r="V72" s="48"/>
      <c r="W72" s="48"/>
      <c r="X72" s="48"/>
      <c r="Y72" s="48"/>
      <c r="Z72" s="48"/>
      <c r="AA72" s="48"/>
      <c r="AB72" s="48"/>
      <c r="AC72" s="48"/>
      <c r="AD72" s="48"/>
      <c r="AE72" s="48"/>
      <c r="AF72" s="48"/>
      <c r="AG72" s="48"/>
      <c r="AH72" s="48"/>
      <c r="AI72" s="48"/>
      <c r="AJ72" s="44"/>
      <c r="AK72" s="44"/>
      <c r="AL72" s="44"/>
    </row>
    <row r="73" spans="1:38" x14ac:dyDescent="0.25">
      <c r="A73" s="94"/>
      <c r="B73" s="261" t="s">
        <v>117</v>
      </c>
      <c r="C73" s="261"/>
      <c r="D73" s="261"/>
      <c r="E73" s="261" t="s">
        <v>972</v>
      </c>
      <c r="F73" s="261"/>
      <c r="G73" s="276"/>
      <c r="H73" s="262"/>
      <c r="I73" s="286"/>
      <c r="J73" s="261"/>
      <c r="K73" s="291"/>
      <c r="L73" s="261"/>
      <c r="M73" s="261"/>
      <c r="N73" s="261"/>
      <c r="O73" s="261"/>
      <c r="P73" s="263"/>
      <c r="Q73" s="263"/>
      <c r="R73" s="44"/>
      <c r="S73" s="49">
        <f t="shared" si="7"/>
        <v>0</v>
      </c>
      <c r="T73" s="85"/>
      <c r="U73" s="48"/>
      <c r="V73" s="48"/>
      <c r="W73" s="48"/>
      <c r="X73" s="48"/>
      <c r="Y73" s="48"/>
      <c r="Z73" s="48"/>
      <c r="AA73" s="48"/>
      <c r="AB73" s="48"/>
      <c r="AC73" s="48"/>
      <c r="AD73" s="48"/>
      <c r="AE73" s="48"/>
      <c r="AF73" s="48"/>
      <c r="AG73" s="48"/>
      <c r="AH73" s="48"/>
      <c r="AI73" s="48"/>
      <c r="AJ73" s="44"/>
      <c r="AK73" s="44"/>
      <c r="AL73" s="44"/>
    </row>
    <row r="74" spans="1:38" ht="27.6" x14ac:dyDescent="0.25">
      <c r="A74" s="94"/>
      <c r="B74" s="265" t="s">
        <v>118</v>
      </c>
      <c r="C74" s="266" t="s">
        <v>1004</v>
      </c>
      <c r="D74" s="265" t="s">
        <v>40</v>
      </c>
      <c r="E74" s="265" t="s">
        <v>1005</v>
      </c>
      <c r="F74" s="267" t="s">
        <v>41</v>
      </c>
      <c r="G74" s="277">
        <v>60.6</v>
      </c>
      <c r="H74" s="268">
        <f t="shared" ref="H74:H80" si="31">I74+K74</f>
        <v>80.02</v>
      </c>
      <c r="I74" s="287">
        <v>21.5</v>
      </c>
      <c r="J74" s="268">
        <f t="shared" ref="J74:J83" si="32">I74*(1+$M$9)</f>
        <v>27.28</v>
      </c>
      <c r="K74" s="292">
        <f>36.32+22.2</f>
        <v>58.52</v>
      </c>
      <c r="L74" s="268">
        <f t="shared" ref="L74:L83" si="33">K74*(1+$M$9)</f>
        <v>74.239999999999995</v>
      </c>
      <c r="M74" s="268">
        <f t="shared" ref="M74:M83" si="34">L74+J74</f>
        <v>101.52</v>
      </c>
      <c r="N74" s="268">
        <f t="shared" ref="N74:N83" si="35">J74*G74</f>
        <v>1653.17</v>
      </c>
      <c r="O74" s="268">
        <f t="shared" ref="O74:O83" si="36">L74*G74</f>
        <v>4498.9399999999996</v>
      </c>
      <c r="P74" s="268">
        <f t="shared" ref="P74:P83" si="37">O74+N74</f>
        <v>6152.11</v>
      </c>
      <c r="Q74" s="269">
        <f t="shared" ref="Q74:Q83" si="38">P74/$O$485</f>
        <v>2.3999999999999998E-3</v>
      </c>
      <c r="R74" s="44"/>
      <c r="S74" s="49">
        <f t="shared" si="7"/>
        <v>4849.21</v>
      </c>
      <c r="T74" s="126"/>
      <c r="U74" s="48"/>
      <c r="V74" s="48"/>
      <c r="W74" s="48"/>
      <c r="X74" s="48"/>
      <c r="Y74" s="48"/>
      <c r="Z74" s="48"/>
      <c r="AA74" s="48"/>
      <c r="AB74" s="48"/>
      <c r="AC74" s="48"/>
      <c r="AD74" s="48"/>
      <c r="AE74" s="48"/>
      <c r="AF74" s="48"/>
      <c r="AG74" s="48"/>
      <c r="AH74" s="48"/>
      <c r="AI74" s="48"/>
      <c r="AJ74" s="44"/>
      <c r="AK74" s="44"/>
      <c r="AL74" s="44"/>
    </row>
    <row r="75" spans="1:38" ht="27.6" x14ac:dyDescent="0.25">
      <c r="A75" s="94"/>
      <c r="B75" s="265" t="s">
        <v>119</v>
      </c>
      <c r="C75" s="266" t="s">
        <v>121</v>
      </c>
      <c r="D75" s="265" t="s">
        <v>40</v>
      </c>
      <c r="E75" s="265" t="s">
        <v>122</v>
      </c>
      <c r="F75" s="267" t="s">
        <v>65</v>
      </c>
      <c r="G75" s="277">
        <v>352.8</v>
      </c>
      <c r="H75" s="268">
        <f t="shared" si="31"/>
        <v>13.49</v>
      </c>
      <c r="I75" s="287">
        <v>2.93</v>
      </c>
      <c r="J75" s="268">
        <f t="shared" si="32"/>
        <v>3.72</v>
      </c>
      <c r="K75" s="292">
        <v>10.56</v>
      </c>
      <c r="L75" s="268">
        <f t="shared" si="33"/>
        <v>13.4</v>
      </c>
      <c r="M75" s="268">
        <f t="shared" si="34"/>
        <v>17.12</v>
      </c>
      <c r="N75" s="268">
        <f t="shared" si="35"/>
        <v>1312.42</v>
      </c>
      <c r="O75" s="268">
        <f t="shared" si="36"/>
        <v>4727.5200000000004</v>
      </c>
      <c r="P75" s="268">
        <f t="shared" si="37"/>
        <v>6039.94</v>
      </c>
      <c r="Q75" s="269">
        <f t="shared" si="38"/>
        <v>2.3999999999999998E-3</v>
      </c>
      <c r="R75" s="44"/>
      <c r="S75" s="49">
        <f t="shared" si="7"/>
        <v>4759.2700000000004</v>
      </c>
      <c r="T75" s="85"/>
      <c r="U75" s="48"/>
      <c r="V75" s="48"/>
      <c r="W75" s="48"/>
      <c r="X75" s="48"/>
      <c r="Y75" s="48"/>
      <c r="Z75" s="48"/>
      <c r="AA75" s="48"/>
      <c r="AB75" s="48"/>
      <c r="AC75" s="48"/>
      <c r="AD75" s="48"/>
      <c r="AE75" s="48"/>
      <c r="AF75" s="48"/>
      <c r="AG75" s="48"/>
      <c r="AH75" s="48"/>
      <c r="AI75" s="48"/>
      <c r="AJ75" s="44"/>
      <c r="AK75" s="44"/>
      <c r="AL75" s="44"/>
    </row>
    <row r="76" spans="1:38" ht="27.6" x14ac:dyDescent="0.25">
      <c r="A76" s="94"/>
      <c r="B76" s="265" t="s">
        <v>120</v>
      </c>
      <c r="C76" s="266" t="s">
        <v>124</v>
      </c>
      <c r="D76" s="265" t="s">
        <v>40</v>
      </c>
      <c r="E76" s="265" t="s">
        <v>125</v>
      </c>
      <c r="F76" s="267" t="s">
        <v>65</v>
      </c>
      <c r="G76" s="277">
        <v>546</v>
      </c>
      <c r="H76" s="268">
        <f t="shared" si="31"/>
        <v>13</v>
      </c>
      <c r="I76" s="287">
        <v>1.86</v>
      </c>
      <c r="J76" s="268">
        <f t="shared" si="32"/>
        <v>2.36</v>
      </c>
      <c r="K76" s="292">
        <v>11.14</v>
      </c>
      <c r="L76" s="268">
        <f t="shared" si="33"/>
        <v>14.13</v>
      </c>
      <c r="M76" s="268">
        <f t="shared" si="34"/>
        <v>16.489999999999998</v>
      </c>
      <c r="N76" s="268">
        <f t="shared" si="35"/>
        <v>1288.56</v>
      </c>
      <c r="O76" s="268">
        <f t="shared" si="36"/>
        <v>7714.98</v>
      </c>
      <c r="P76" s="268">
        <f t="shared" si="37"/>
        <v>9003.5400000000009</v>
      </c>
      <c r="Q76" s="269">
        <f t="shared" si="38"/>
        <v>3.5999999999999999E-3</v>
      </c>
      <c r="R76" s="44"/>
      <c r="S76" s="49">
        <f t="shared" si="7"/>
        <v>7098</v>
      </c>
      <c r="T76" s="126"/>
      <c r="U76" s="48"/>
      <c r="V76" s="48"/>
      <c r="W76" s="48"/>
      <c r="X76" s="48"/>
      <c r="Y76" s="48"/>
      <c r="Z76" s="48"/>
      <c r="AA76" s="48"/>
      <c r="AB76" s="48"/>
      <c r="AC76" s="48"/>
      <c r="AD76" s="48"/>
      <c r="AE76" s="48"/>
      <c r="AF76" s="48"/>
      <c r="AG76" s="48"/>
      <c r="AH76" s="48"/>
      <c r="AI76" s="48"/>
      <c r="AJ76" s="44"/>
      <c r="AK76" s="44"/>
      <c r="AL76" s="44"/>
    </row>
    <row r="77" spans="1:38" ht="27.6" x14ac:dyDescent="0.25">
      <c r="A77" s="94"/>
      <c r="B77" s="265" t="s">
        <v>123</v>
      </c>
      <c r="C77" s="266" t="s">
        <v>127</v>
      </c>
      <c r="D77" s="265" t="s">
        <v>40</v>
      </c>
      <c r="E77" s="265" t="s">
        <v>128</v>
      </c>
      <c r="F77" s="267" t="s">
        <v>65</v>
      </c>
      <c r="G77" s="277">
        <v>167.4</v>
      </c>
      <c r="H77" s="268">
        <f t="shared" si="31"/>
        <v>12.38</v>
      </c>
      <c r="I77" s="287">
        <v>1.1299999999999999</v>
      </c>
      <c r="J77" s="268">
        <f t="shared" si="32"/>
        <v>1.43</v>
      </c>
      <c r="K77" s="292">
        <v>11.25</v>
      </c>
      <c r="L77" s="268">
        <f t="shared" si="33"/>
        <v>14.27</v>
      </c>
      <c r="M77" s="268">
        <f t="shared" si="34"/>
        <v>15.7</v>
      </c>
      <c r="N77" s="268">
        <f t="shared" si="35"/>
        <v>239.38</v>
      </c>
      <c r="O77" s="268">
        <f t="shared" si="36"/>
        <v>2388.8000000000002</v>
      </c>
      <c r="P77" s="268">
        <f t="shared" si="37"/>
        <v>2628.18</v>
      </c>
      <c r="Q77" s="269">
        <f t="shared" si="38"/>
        <v>1E-3</v>
      </c>
      <c r="R77" s="44"/>
      <c r="S77" s="49">
        <f t="shared" si="7"/>
        <v>2072.41</v>
      </c>
      <c r="T77" s="85"/>
      <c r="U77" s="48"/>
      <c r="V77" s="48"/>
      <c r="W77" s="48"/>
      <c r="X77" s="48"/>
      <c r="Y77" s="48"/>
      <c r="Z77" s="48"/>
      <c r="AA77" s="48"/>
      <c r="AB77" s="48"/>
      <c r="AC77" s="48"/>
      <c r="AD77" s="48"/>
      <c r="AE77" s="48"/>
      <c r="AF77" s="48"/>
      <c r="AG77" s="48"/>
      <c r="AH77" s="48"/>
      <c r="AI77" s="48"/>
      <c r="AJ77" s="44"/>
      <c r="AK77" s="44"/>
      <c r="AL77" s="44"/>
    </row>
    <row r="78" spans="1:38" ht="27.6" x14ac:dyDescent="0.25">
      <c r="A78" s="94"/>
      <c r="B78" s="265" t="s">
        <v>126</v>
      </c>
      <c r="C78" s="266" t="s">
        <v>130</v>
      </c>
      <c r="D78" s="265" t="s">
        <v>40</v>
      </c>
      <c r="E78" s="265" t="s">
        <v>131</v>
      </c>
      <c r="F78" s="267" t="s">
        <v>65</v>
      </c>
      <c r="G78" s="277">
        <v>197.5</v>
      </c>
      <c r="H78" s="268">
        <f t="shared" si="31"/>
        <v>11.12</v>
      </c>
      <c r="I78" s="287">
        <v>0.69</v>
      </c>
      <c r="J78" s="268">
        <f t="shared" si="32"/>
        <v>0.88</v>
      </c>
      <c r="K78" s="292">
        <v>10.43</v>
      </c>
      <c r="L78" s="268">
        <f t="shared" si="33"/>
        <v>13.23</v>
      </c>
      <c r="M78" s="268">
        <f t="shared" si="34"/>
        <v>14.11</v>
      </c>
      <c r="N78" s="268">
        <f t="shared" si="35"/>
        <v>173.8</v>
      </c>
      <c r="O78" s="268">
        <f t="shared" si="36"/>
        <v>2612.9299999999998</v>
      </c>
      <c r="P78" s="268">
        <f t="shared" si="37"/>
        <v>2786.73</v>
      </c>
      <c r="Q78" s="269">
        <f t="shared" si="38"/>
        <v>1.1000000000000001E-3</v>
      </c>
      <c r="R78" s="44"/>
      <c r="S78" s="49">
        <f t="shared" si="7"/>
        <v>2196.1999999999998</v>
      </c>
      <c r="T78" s="126"/>
      <c r="U78" s="48"/>
      <c r="V78" s="48"/>
      <c r="W78" s="48"/>
      <c r="X78" s="48"/>
      <c r="Y78" s="48"/>
      <c r="Z78" s="48"/>
      <c r="AA78" s="48"/>
      <c r="AB78" s="48"/>
      <c r="AC78" s="48"/>
      <c r="AD78" s="48"/>
      <c r="AE78" s="48"/>
      <c r="AF78" s="48"/>
      <c r="AG78" s="48"/>
      <c r="AH78" s="48"/>
      <c r="AI78" s="48"/>
      <c r="AJ78" s="44"/>
      <c r="AK78" s="44"/>
      <c r="AL78" s="44"/>
    </row>
    <row r="79" spans="1:38" ht="27.6" x14ac:dyDescent="0.25">
      <c r="A79" s="94"/>
      <c r="B79" s="265" t="s">
        <v>129</v>
      </c>
      <c r="C79" s="266" t="s">
        <v>1450</v>
      </c>
      <c r="D79" s="265" t="s">
        <v>40</v>
      </c>
      <c r="E79" s="265" t="s">
        <v>1451</v>
      </c>
      <c r="F79" s="267" t="s">
        <v>65</v>
      </c>
      <c r="G79" s="277">
        <v>5.9</v>
      </c>
      <c r="H79" s="268">
        <f t="shared" si="31"/>
        <v>9.3699999999999992</v>
      </c>
      <c r="I79" s="287">
        <v>0.37</v>
      </c>
      <c r="J79" s="268">
        <f t="shared" si="32"/>
        <v>0.47</v>
      </c>
      <c r="K79" s="292">
        <v>9</v>
      </c>
      <c r="L79" s="268">
        <f t="shared" si="33"/>
        <v>11.42</v>
      </c>
      <c r="M79" s="268">
        <f t="shared" si="34"/>
        <v>11.89</v>
      </c>
      <c r="N79" s="268">
        <f t="shared" si="35"/>
        <v>2.77</v>
      </c>
      <c r="O79" s="268">
        <f t="shared" si="36"/>
        <v>67.38</v>
      </c>
      <c r="P79" s="268">
        <f t="shared" si="37"/>
        <v>70.150000000000006</v>
      </c>
      <c r="Q79" s="269">
        <f t="shared" si="38"/>
        <v>0</v>
      </c>
      <c r="R79" s="44"/>
      <c r="S79" s="49">
        <f t="shared" si="7"/>
        <v>55.28</v>
      </c>
      <c r="T79" s="126"/>
      <c r="U79" s="48"/>
      <c r="V79" s="48"/>
      <c r="W79" s="48"/>
      <c r="X79" s="48"/>
      <c r="Y79" s="48"/>
      <c r="Z79" s="48"/>
      <c r="AA79" s="48"/>
      <c r="AB79" s="48"/>
      <c r="AC79" s="48"/>
      <c r="AD79" s="48"/>
      <c r="AE79" s="48"/>
      <c r="AF79" s="48"/>
      <c r="AG79" s="48"/>
      <c r="AH79" s="48"/>
      <c r="AI79" s="48"/>
      <c r="AJ79" s="44"/>
      <c r="AK79" s="44"/>
      <c r="AL79" s="44"/>
    </row>
    <row r="80" spans="1:38" ht="27.6" x14ac:dyDescent="0.25">
      <c r="A80" s="94"/>
      <c r="B80" s="265" t="s">
        <v>132</v>
      </c>
      <c r="C80" s="266" t="s">
        <v>1002</v>
      </c>
      <c r="D80" s="265" t="s">
        <v>100</v>
      </c>
      <c r="E80" s="265" t="s">
        <v>1003</v>
      </c>
      <c r="F80" s="267" t="s">
        <v>59</v>
      </c>
      <c r="G80" s="277">
        <v>42.8</v>
      </c>
      <c r="H80" s="268">
        <f t="shared" si="31"/>
        <v>0</v>
      </c>
      <c r="I80" s="287"/>
      <c r="J80" s="268">
        <f t="shared" si="32"/>
        <v>0</v>
      </c>
      <c r="K80" s="292"/>
      <c r="L80" s="268">
        <f t="shared" si="33"/>
        <v>0</v>
      </c>
      <c r="M80" s="268">
        <f t="shared" si="34"/>
        <v>0</v>
      </c>
      <c r="N80" s="268">
        <f t="shared" si="35"/>
        <v>0</v>
      </c>
      <c r="O80" s="268">
        <f t="shared" si="36"/>
        <v>0</v>
      </c>
      <c r="P80" s="268">
        <f t="shared" si="37"/>
        <v>0</v>
      </c>
      <c r="Q80" s="269">
        <f t="shared" si="38"/>
        <v>0</v>
      </c>
      <c r="R80" s="44"/>
      <c r="S80" s="49">
        <f t="shared" si="7"/>
        <v>0</v>
      </c>
      <c r="T80" s="85"/>
      <c r="U80" s="48"/>
      <c r="V80" s="48"/>
      <c r="W80" s="48"/>
      <c r="X80" s="48"/>
      <c r="Y80" s="48"/>
      <c r="Z80" s="48"/>
      <c r="AA80" s="48"/>
      <c r="AB80" s="48"/>
      <c r="AC80" s="48"/>
      <c r="AD80" s="48"/>
      <c r="AE80" s="48"/>
      <c r="AF80" s="48"/>
      <c r="AG80" s="48"/>
      <c r="AH80" s="48"/>
      <c r="AI80" s="48"/>
      <c r="AJ80" s="44"/>
      <c r="AK80" s="44"/>
      <c r="AL80" s="44"/>
    </row>
    <row r="81" spans="1:38" x14ac:dyDescent="0.25">
      <c r="A81" s="94"/>
      <c r="B81" s="265" t="s">
        <v>133</v>
      </c>
      <c r="C81" s="266" t="s">
        <v>81</v>
      </c>
      <c r="D81" s="265" t="s">
        <v>51</v>
      </c>
      <c r="E81" s="265" t="s">
        <v>82</v>
      </c>
      <c r="F81" s="267" t="s">
        <v>59</v>
      </c>
      <c r="G81" s="277">
        <v>42.8</v>
      </c>
      <c r="H81" s="268">
        <f>H72</f>
        <v>92.53</v>
      </c>
      <c r="I81" s="287">
        <f>I72</f>
        <v>2.4500000000000002</v>
      </c>
      <c r="J81" s="268">
        <f t="shared" si="32"/>
        <v>3.11</v>
      </c>
      <c r="K81" s="292">
        <f>K72</f>
        <v>90.08</v>
      </c>
      <c r="L81" s="268">
        <f t="shared" si="33"/>
        <v>114.28</v>
      </c>
      <c r="M81" s="268">
        <f t="shared" si="34"/>
        <v>117.39</v>
      </c>
      <c r="N81" s="268">
        <f t="shared" si="35"/>
        <v>133.11000000000001</v>
      </c>
      <c r="O81" s="268">
        <f t="shared" si="36"/>
        <v>4891.18</v>
      </c>
      <c r="P81" s="268">
        <f t="shared" si="37"/>
        <v>5024.29</v>
      </c>
      <c r="Q81" s="269">
        <f t="shared" si="38"/>
        <v>2E-3</v>
      </c>
      <c r="R81" s="44"/>
      <c r="S81" s="49">
        <f t="shared" si="7"/>
        <v>3960.28</v>
      </c>
      <c r="T81" s="126"/>
      <c r="U81" s="48"/>
      <c r="V81" s="48"/>
      <c r="W81" s="48"/>
      <c r="X81" s="48"/>
      <c r="Y81" s="48"/>
      <c r="Z81" s="48"/>
      <c r="AA81" s="48"/>
      <c r="AB81" s="48"/>
      <c r="AC81" s="48"/>
      <c r="AD81" s="48"/>
      <c r="AE81" s="48"/>
      <c r="AF81" s="48"/>
      <c r="AG81" s="48"/>
      <c r="AH81" s="48"/>
      <c r="AI81" s="48"/>
      <c r="AJ81" s="44"/>
      <c r="AK81" s="44"/>
      <c r="AL81" s="44"/>
    </row>
    <row r="82" spans="1:38" x14ac:dyDescent="0.25">
      <c r="A82" s="94"/>
      <c r="B82" s="265" t="s">
        <v>516</v>
      </c>
      <c r="C82" s="266" t="s">
        <v>518</v>
      </c>
      <c r="D82" s="265" t="s">
        <v>100</v>
      </c>
      <c r="E82" s="265" t="s">
        <v>781</v>
      </c>
      <c r="F82" s="267" t="s">
        <v>41</v>
      </c>
      <c r="G82" s="277">
        <v>415.88</v>
      </c>
      <c r="H82" s="268">
        <f>CPUS!L48</f>
        <v>321.08</v>
      </c>
      <c r="I82" s="287">
        <f>CPUS!H52</f>
        <v>24.46</v>
      </c>
      <c r="J82" s="268">
        <f t="shared" si="32"/>
        <v>31.03</v>
      </c>
      <c r="K82" s="292">
        <f>H82-I82</f>
        <v>296.62</v>
      </c>
      <c r="L82" s="268">
        <f t="shared" si="33"/>
        <v>376.32</v>
      </c>
      <c r="M82" s="268">
        <f t="shared" si="34"/>
        <v>407.35</v>
      </c>
      <c r="N82" s="268">
        <f t="shared" si="35"/>
        <v>12904.76</v>
      </c>
      <c r="O82" s="268">
        <f t="shared" si="36"/>
        <v>156503.96</v>
      </c>
      <c r="P82" s="268">
        <f t="shared" si="37"/>
        <v>169408.72</v>
      </c>
      <c r="Q82" s="269">
        <f t="shared" si="38"/>
        <v>6.7000000000000004E-2</v>
      </c>
      <c r="R82" s="44"/>
      <c r="S82" s="49">
        <f t="shared" si="7"/>
        <v>133530.75</v>
      </c>
      <c r="T82" s="126"/>
      <c r="U82" s="48"/>
      <c r="V82" s="48"/>
      <c r="W82" s="48"/>
      <c r="X82" s="48"/>
      <c r="Y82" s="48"/>
      <c r="Z82" s="48"/>
      <c r="AA82" s="48"/>
      <c r="AB82" s="48"/>
      <c r="AC82" s="48"/>
      <c r="AD82" s="48"/>
      <c r="AE82" s="48"/>
      <c r="AF82" s="48"/>
      <c r="AG82" s="48"/>
      <c r="AH82" s="48"/>
      <c r="AI82" s="48"/>
      <c r="AJ82" s="44"/>
      <c r="AK82" s="44"/>
      <c r="AL82" s="44"/>
    </row>
    <row r="83" spans="1:38" ht="27.6" x14ac:dyDescent="0.25">
      <c r="A83" s="94"/>
      <c r="B83" s="265" t="s">
        <v>517</v>
      </c>
      <c r="C83" s="266" t="s">
        <v>1452</v>
      </c>
      <c r="D83" s="265" t="s">
        <v>40</v>
      </c>
      <c r="E83" s="265" t="s">
        <v>1453</v>
      </c>
      <c r="F83" s="267" t="s">
        <v>59</v>
      </c>
      <c r="G83" s="277">
        <v>1555.27</v>
      </c>
      <c r="H83" s="268">
        <f>I83+K83</f>
        <v>17.27</v>
      </c>
      <c r="I83" s="287">
        <v>5.12</v>
      </c>
      <c r="J83" s="268">
        <f t="shared" si="32"/>
        <v>6.5</v>
      </c>
      <c r="K83" s="292">
        <v>12.15</v>
      </c>
      <c r="L83" s="268">
        <f t="shared" si="33"/>
        <v>15.41</v>
      </c>
      <c r="M83" s="268">
        <f t="shared" si="34"/>
        <v>21.91</v>
      </c>
      <c r="N83" s="268">
        <f t="shared" si="35"/>
        <v>10109.26</v>
      </c>
      <c r="O83" s="268">
        <f t="shared" si="36"/>
        <v>23966.71</v>
      </c>
      <c r="P83" s="268">
        <f t="shared" si="37"/>
        <v>34075.97</v>
      </c>
      <c r="Q83" s="269">
        <f t="shared" si="38"/>
        <v>1.35E-2</v>
      </c>
      <c r="R83" s="44"/>
      <c r="S83" s="49">
        <f t="shared" si="7"/>
        <v>26859.51</v>
      </c>
      <c r="T83" s="85"/>
      <c r="U83" s="48"/>
      <c r="V83" s="48"/>
      <c r="W83" s="48"/>
      <c r="X83" s="48"/>
      <c r="Y83" s="48"/>
      <c r="Z83" s="48"/>
      <c r="AA83" s="48"/>
      <c r="AB83" s="48"/>
      <c r="AC83" s="48"/>
      <c r="AD83" s="48"/>
      <c r="AE83" s="48"/>
      <c r="AF83" s="48"/>
      <c r="AG83" s="48"/>
      <c r="AH83" s="48"/>
      <c r="AI83" s="48"/>
      <c r="AJ83" s="44"/>
      <c r="AK83" s="44"/>
      <c r="AL83" s="44"/>
    </row>
    <row r="84" spans="1:38" x14ac:dyDescent="0.25">
      <c r="A84" s="94"/>
      <c r="B84" s="261" t="s">
        <v>1347</v>
      </c>
      <c r="C84" s="261"/>
      <c r="D84" s="261"/>
      <c r="E84" s="261" t="s">
        <v>1348</v>
      </c>
      <c r="F84" s="261"/>
      <c r="G84" s="276"/>
      <c r="H84" s="262"/>
      <c r="I84" s="286"/>
      <c r="J84" s="261"/>
      <c r="K84" s="291"/>
      <c r="L84" s="261"/>
      <c r="M84" s="261"/>
      <c r="N84" s="261"/>
      <c r="O84" s="261"/>
      <c r="P84" s="263"/>
      <c r="Q84" s="263"/>
      <c r="R84" s="44"/>
      <c r="S84" s="49">
        <f t="shared" si="7"/>
        <v>0</v>
      </c>
      <c r="T84" s="126"/>
      <c r="U84" s="48"/>
      <c r="V84" s="48"/>
      <c r="W84" s="48"/>
      <c r="X84" s="48"/>
      <c r="Y84" s="48"/>
      <c r="Z84" s="48"/>
      <c r="AA84" s="48"/>
      <c r="AB84" s="48"/>
      <c r="AC84" s="48"/>
      <c r="AD84" s="48"/>
      <c r="AE84" s="48"/>
      <c r="AF84" s="48"/>
      <c r="AG84" s="48"/>
      <c r="AH84" s="48"/>
      <c r="AI84" s="48"/>
      <c r="AJ84" s="44"/>
      <c r="AK84" s="44"/>
      <c r="AL84" s="44"/>
    </row>
    <row r="85" spans="1:38" ht="27.6" x14ac:dyDescent="0.25">
      <c r="A85" s="94"/>
      <c r="B85" s="265" t="s">
        <v>1349</v>
      </c>
      <c r="C85" s="266" t="s">
        <v>1350</v>
      </c>
      <c r="D85" s="265" t="s">
        <v>40</v>
      </c>
      <c r="E85" s="265" t="s">
        <v>1351</v>
      </c>
      <c r="F85" s="267" t="s">
        <v>41</v>
      </c>
      <c r="G85" s="277">
        <v>6.25</v>
      </c>
      <c r="H85" s="268">
        <f>I85+K85</f>
        <v>241.97</v>
      </c>
      <c r="I85" s="287">
        <v>21.74</v>
      </c>
      <c r="J85" s="268">
        <f>I85*(1+$M$9)</f>
        <v>27.58</v>
      </c>
      <c r="K85" s="292">
        <f>220.18+0.05</f>
        <v>220.23</v>
      </c>
      <c r="L85" s="268">
        <f>K85*(1+$M$9)</f>
        <v>279.41000000000003</v>
      </c>
      <c r="M85" s="268">
        <f>L85+J85</f>
        <v>306.99</v>
      </c>
      <c r="N85" s="268">
        <f>J85*G85</f>
        <v>172.38</v>
      </c>
      <c r="O85" s="268">
        <f>L85*G85</f>
        <v>1746.31</v>
      </c>
      <c r="P85" s="268">
        <f>O85+N85</f>
        <v>1918.69</v>
      </c>
      <c r="Q85" s="269">
        <f>P85/$O$485</f>
        <v>8.0000000000000004E-4</v>
      </c>
      <c r="R85" s="44"/>
      <c r="S85" s="49">
        <f t="shared" ref="S85:S148" si="39">G85*H85</f>
        <v>1512.31</v>
      </c>
      <c r="T85" s="85"/>
      <c r="U85" s="48"/>
      <c r="V85" s="48"/>
      <c r="W85" s="48"/>
      <c r="X85" s="48"/>
      <c r="Y85" s="48"/>
      <c r="Z85" s="48"/>
      <c r="AA85" s="48"/>
      <c r="AB85" s="48"/>
      <c r="AC85" s="48"/>
      <c r="AD85" s="48"/>
      <c r="AE85" s="48"/>
      <c r="AF85" s="48"/>
      <c r="AG85" s="48"/>
      <c r="AH85" s="48"/>
      <c r="AI85" s="48"/>
      <c r="AJ85" s="44"/>
      <c r="AK85" s="44"/>
      <c r="AL85" s="44"/>
    </row>
    <row r="86" spans="1:38" x14ac:dyDescent="0.25">
      <c r="A86" s="94"/>
      <c r="B86" s="261">
        <v>4</v>
      </c>
      <c r="C86" s="261"/>
      <c r="D86" s="261"/>
      <c r="E86" s="261" t="s">
        <v>519</v>
      </c>
      <c r="F86" s="261"/>
      <c r="G86" s="276"/>
      <c r="H86" s="262"/>
      <c r="I86" s="286"/>
      <c r="J86" s="261"/>
      <c r="K86" s="291"/>
      <c r="L86" s="261"/>
      <c r="M86" s="261"/>
      <c r="N86" s="261"/>
      <c r="O86" s="261"/>
      <c r="P86" s="263"/>
      <c r="Q86" s="263"/>
      <c r="R86" s="44"/>
      <c r="S86" s="49">
        <f t="shared" si="39"/>
        <v>0</v>
      </c>
      <c r="T86" s="126"/>
      <c r="U86" s="48"/>
      <c r="V86" s="48"/>
      <c r="W86" s="48"/>
      <c r="X86" s="48"/>
      <c r="Y86" s="48"/>
      <c r="Z86" s="48"/>
      <c r="AA86" s="48"/>
      <c r="AB86" s="48"/>
      <c r="AC86" s="48"/>
      <c r="AD86" s="48"/>
      <c r="AE86" s="48"/>
      <c r="AF86" s="48"/>
      <c r="AG86" s="48"/>
      <c r="AH86" s="48"/>
      <c r="AI86" s="48"/>
      <c r="AJ86" s="44"/>
      <c r="AK86" s="44"/>
      <c r="AL86" s="44"/>
    </row>
    <row r="87" spans="1:38" x14ac:dyDescent="0.25">
      <c r="A87" s="94"/>
      <c r="B87" s="261" t="s">
        <v>134</v>
      </c>
      <c r="C87" s="261"/>
      <c r="D87" s="261"/>
      <c r="E87" s="261" t="s">
        <v>520</v>
      </c>
      <c r="F87" s="261"/>
      <c r="G87" s="276"/>
      <c r="H87" s="262"/>
      <c r="I87" s="286"/>
      <c r="J87" s="261"/>
      <c r="K87" s="291"/>
      <c r="L87" s="261"/>
      <c r="M87" s="261"/>
      <c r="N87" s="261"/>
      <c r="O87" s="261"/>
      <c r="P87" s="263"/>
      <c r="Q87" s="263"/>
      <c r="R87" s="44"/>
      <c r="S87" s="49">
        <f t="shared" si="39"/>
        <v>0</v>
      </c>
      <c r="T87" s="85"/>
      <c r="U87" s="48"/>
      <c r="V87" s="48"/>
      <c r="W87" s="48"/>
      <c r="X87" s="48"/>
      <c r="Y87" s="48"/>
      <c r="Z87" s="48"/>
      <c r="AA87" s="48"/>
      <c r="AB87" s="48"/>
      <c r="AC87" s="48"/>
      <c r="AD87" s="48"/>
      <c r="AE87" s="48"/>
      <c r="AF87" s="48"/>
      <c r="AG87" s="48"/>
      <c r="AH87" s="48"/>
      <c r="AI87" s="48"/>
      <c r="AJ87" s="44"/>
      <c r="AK87" s="44"/>
      <c r="AL87" s="44"/>
    </row>
    <row r="88" spans="1:38" ht="27.6" x14ac:dyDescent="0.25">
      <c r="A88" s="94"/>
      <c r="B88" s="265" t="s">
        <v>521</v>
      </c>
      <c r="C88" s="266" t="s">
        <v>1194</v>
      </c>
      <c r="D88" s="265" t="s">
        <v>40</v>
      </c>
      <c r="E88" s="265" t="s">
        <v>1195</v>
      </c>
      <c r="F88" s="267" t="s">
        <v>41</v>
      </c>
      <c r="G88" s="277">
        <v>11.17</v>
      </c>
      <c r="H88" s="268">
        <f>I88+K88</f>
        <v>50.79</v>
      </c>
      <c r="I88" s="287">
        <v>15.81</v>
      </c>
      <c r="J88" s="268">
        <f t="shared" ref="J88:J93" si="40">I88*(1+$M$9)</f>
        <v>20.059999999999999</v>
      </c>
      <c r="K88" s="292">
        <f>34.97+0.01</f>
        <v>34.979999999999997</v>
      </c>
      <c r="L88" s="268">
        <f t="shared" ref="L88:L93" si="41">K88*(1+$M$9)</f>
        <v>44.38</v>
      </c>
      <c r="M88" s="268">
        <f t="shared" ref="M88:M93" si="42">L88+J88</f>
        <v>64.44</v>
      </c>
      <c r="N88" s="268">
        <f t="shared" ref="N88:N93" si="43">J88*G88</f>
        <v>224.07</v>
      </c>
      <c r="O88" s="268">
        <f t="shared" ref="O88:O93" si="44">L88*G88</f>
        <v>495.72</v>
      </c>
      <c r="P88" s="268">
        <f t="shared" ref="P88:P93" si="45">O88+N88</f>
        <v>719.79</v>
      </c>
      <c r="Q88" s="269">
        <f t="shared" ref="Q88:Q93" si="46">P88/$O$485</f>
        <v>2.9999999999999997E-4</v>
      </c>
      <c r="R88" s="44"/>
      <c r="S88" s="49">
        <f t="shared" si="39"/>
        <v>567.32000000000005</v>
      </c>
      <c r="T88" s="126"/>
      <c r="U88" s="48"/>
      <c r="V88" s="48"/>
      <c r="W88" s="48"/>
      <c r="X88" s="48"/>
      <c r="Y88" s="48"/>
      <c r="Z88" s="48"/>
      <c r="AA88" s="48"/>
      <c r="AB88" s="48"/>
      <c r="AC88" s="48"/>
      <c r="AD88" s="48"/>
      <c r="AE88" s="48"/>
      <c r="AF88" s="48"/>
      <c r="AG88" s="48"/>
      <c r="AH88" s="48"/>
      <c r="AI88" s="48"/>
      <c r="AJ88" s="44"/>
      <c r="AK88" s="44"/>
      <c r="AL88" s="44"/>
    </row>
    <row r="89" spans="1:38" ht="27.6" x14ac:dyDescent="0.25">
      <c r="A89" s="94"/>
      <c r="B89" s="265" t="s">
        <v>522</v>
      </c>
      <c r="C89" s="266" t="s">
        <v>1196</v>
      </c>
      <c r="D89" s="265" t="s">
        <v>40</v>
      </c>
      <c r="E89" s="265" t="s">
        <v>1197</v>
      </c>
      <c r="F89" s="267" t="s">
        <v>41</v>
      </c>
      <c r="G89" s="277">
        <v>1009.97</v>
      </c>
      <c r="H89" s="268">
        <f>I89+K89</f>
        <v>67.48</v>
      </c>
      <c r="I89" s="287">
        <v>22.8</v>
      </c>
      <c r="J89" s="268">
        <f t="shared" si="40"/>
        <v>28.93</v>
      </c>
      <c r="K89" s="292">
        <f>44.66+0.01+0.01</f>
        <v>44.68</v>
      </c>
      <c r="L89" s="268">
        <f t="shared" si="41"/>
        <v>56.69</v>
      </c>
      <c r="M89" s="268">
        <f t="shared" si="42"/>
        <v>85.62</v>
      </c>
      <c r="N89" s="268">
        <f t="shared" si="43"/>
        <v>29218.43</v>
      </c>
      <c r="O89" s="268">
        <f t="shared" si="44"/>
        <v>57255.199999999997</v>
      </c>
      <c r="P89" s="268">
        <f t="shared" si="45"/>
        <v>86473.63</v>
      </c>
      <c r="Q89" s="269">
        <f t="shared" si="46"/>
        <v>3.4200000000000001E-2</v>
      </c>
      <c r="R89" s="44"/>
      <c r="S89" s="49">
        <f t="shared" si="39"/>
        <v>68152.78</v>
      </c>
      <c r="T89" s="85"/>
      <c r="U89" s="48"/>
      <c r="V89" s="48"/>
      <c r="W89" s="48"/>
      <c r="X89" s="48"/>
      <c r="Y89" s="48"/>
      <c r="Z89" s="48"/>
      <c r="AA89" s="48"/>
      <c r="AB89" s="48"/>
      <c r="AC89" s="48"/>
      <c r="AD89" s="48"/>
      <c r="AE89" s="48"/>
      <c r="AF89" s="48"/>
      <c r="AG89" s="48"/>
      <c r="AH89" s="48"/>
      <c r="AI89" s="48"/>
      <c r="AJ89" s="44"/>
      <c r="AK89" s="44"/>
      <c r="AL89" s="44"/>
    </row>
    <row r="90" spans="1:38" x14ac:dyDescent="0.25">
      <c r="A90" s="94"/>
      <c r="B90" s="265" t="s">
        <v>523</v>
      </c>
      <c r="C90" s="266" t="s">
        <v>796</v>
      </c>
      <c r="D90" s="265" t="s">
        <v>146</v>
      </c>
      <c r="E90" s="265" t="s">
        <v>797</v>
      </c>
      <c r="F90" s="267" t="s">
        <v>41</v>
      </c>
      <c r="G90" s="277">
        <v>137.80000000000001</v>
      </c>
      <c r="H90" s="268">
        <v>205.4</v>
      </c>
      <c r="I90" s="287">
        <f>7.14+7.33+35.96+25.66</f>
        <v>76.09</v>
      </c>
      <c r="J90" s="268">
        <f t="shared" si="40"/>
        <v>96.54</v>
      </c>
      <c r="K90" s="292">
        <f>H90-I90</f>
        <v>129.31</v>
      </c>
      <c r="L90" s="268">
        <f t="shared" si="41"/>
        <v>164.06</v>
      </c>
      <c r="M90" s="268">
        <f t="shared" si="42"/>
        <v>260.60000000000002</v>
      </c>
      <c r="N90" s="268">
        <f t="shared" si="43"/>
        <v>13303.21</v>
      </c>
      <c r="O90" s="268">
        <f t="shared" si="44"/>
        <v>22607.47</v>
      </c>
      <c r="P90" s="268">
        <f t="shared" si="45"/>
        <v>35910.68</v>
      </c>
      <c r="Q90" s="269">
        <f t="shared" si="46"/>
        <v>1.4200000000000001E-2</v>
      </c>
      <c r="R90" s="44"/>
      <c r="S90" s="49">
        <f t="shared" si="39"/>
        <v>28304.12</v>
      </c>
      <c r="T90" s="126"/>
      <c r="U90" s="48"/>
      <c r="V90" s="48"/>
      <c r="W90" s="48"/>
      <c r="X90" s="48"/>
      <c r="Y90" s="48"/>
      <c r="Z90" s="48"/>
      <c r="AA90" s="48"/>
      <c r="AB90" s="48"/>
      <c r="AC90" s="48"/>
      <c r="AD90" s="48"/>
      <c r="AE90" s="48"/>
      <c r="AF90" s="48"/>
      <c r="AG90" s="48"/>
      <c r="AH90" s="48"/>
      <c r="AI90" s="48"/>
      <c r="AJ90" s="44"/>
      <c r="AK90" s="44"/>
      <c r="AL90" s="44"/>
    </row>
    <row r="91" spans="1:38" x14ac:dyDescent="0.25">
      <c r="A91" s="94"/>
      <c r="B91" s="265" t="s">
        <v>524</v>
      </c>
      <c r="C91" s="266" t="s">
        <v>137</v>
      </c>
      <c r="D91" s="265" t="s">
        <v>40</v>
      </c>
      <c r="E91" s="265" t="s">
        <v>1006</v>
      </c>
      <c r="F91" s="267" t="s">
        <v>55</v>
      </c>
      <c r="G91" s="277">
        <v>134.25</v>
      </c>
      <c r="H91" s="268">
        <f>I91+K91</f>
        <v>66.709999999999994</v>
      </c>
      <c r="I91" s="287">
        <v>14.58</v>
      </c>
      <c r="J91" s="268">
        <f t="shared" si="40"/>
        <v>18.5</v>
      </c>
      <c r="K91" s="292">
        <f>52.07+0.02+0.04</f>
        <v>52.13</v>
      </c>
      <c r="L91" s="268">
        <f t="shared" si="41"/>
        <v>66.14</v>
      </c>
      <c r="M91" s="268">
        <f t="shared" si="42"/>
        <v>84.64</v>
      </c>
      <c r="N91" s="268">
        <f t="shared" si="43"/>
        <v>2483.63</v>
      </c>
      <c r="O91" s="268">
        <f t="shared" si="44"/>
        <v>8879.2999999999993</v>
      </c>
      <c r="P91" s="268">
        <f t="shared" si="45"/>
        <v>11362.93</v>
      </c>
      <c r="Q91" s="269">
        <f t="shared" si="46"/>
        <v>4.4999999999999997E-3</v>
      </c>
      <c r="R91" s="44"/>
      <c r="S91" s="49">
        <f t="shared" si="39"/>
        <v>8955.82</v>
      </c>
      <c r="T91" s="126"/>
      <c r="U91" s="48"/>
      <c r="V91" s="48"/>
      <c r="W91" s="48"/>
      <c r="X91" s="48"/>
      <c r="Y91" s="48"/>
      <c r="Z91" s="48"/>
      <c r="AA91" s="48"/>
      <c r="AB91" s="48"/>
      <c r="AC91" s="48"/>
      <c r="AD91" s="48"/>
      <c r="AE91" s="48"/>
      <c r="AF91" s="48"/>
      <c r="AG91" s="48"/>
      <c r="AH91" s="48"/>
      <c r="AI91" s="48"/>
      <c r="AJ91" s="44"/>
      <c r="AK91" s="44"/>
      <c r="AL91" s="44"/>
    </row>
    <row r="92" spans="1:38" ht="27.6" x14ac:dyDescent="0.25">
      <c r="A92" s="94"/>
      <c r="B92" s="265" t="s">
        <v>525</v>
      </c>
      <c r="C92" s="266" t="s">
        <v>138</v>
      </c>
      <c r="D92" s="265" t="s">
        <v>40</v>
      </c>
      <c r="E92" s="265" t="s">
        <v>1007</v>
      </c>
      <c r="F92" s="267" t="s">
        <v>55</v>
      </c>
      <c r="G92" s="277">
        <v>86.3</v>
      </c>
      <c r="H92" s="268">
        <f>I92+K92</f>
        <v>47.38</v>
      </c>
      <c r="I92" s="287">
        <v>9.6999999999999993</v>
      </c>
      <c r="J92" s="268">
        <f t="shared" si="40"/>
        <v>12.31</v>
      </c>
      <c r="K92" s="292">
        <f>37.62+0.02+0.04</f>
        <v>37.68</v>
      </c>
      <c r="L92" s="268">
        <f t="shared" si="41"/>
        <v>47.8</v>
      </c>
      <c r="M92" s="268">
        <f t="shared" si="42"/>
        <v>60.11</v>
      </c>
      <c r="N92" s="268">
        <f t="shared" si="43"/>
        <v>1062.3499999999999</v>
      </c>
      <c r="O92" s="268">
        <f t="shared" si="44"/>
        <v>4125.1400000000003</v>
      </c>
      <c r="P92" s="268">
        <f t="shared" si="45"/>
        <v>5187.49</v>
      </c>
      <c r="Q92" s="269">
        <f t="shared" si="46"/>
        <v>2.0999999999999999E-3</v>
      </c>
      <c r="R92" s="44"/>
      <c r="S92" s="49">
        <f t="shared" si="39"/>
        <v>4088.89</v>
      </c>
      <c r="T92" s="85"/>
      <c r="U92" s="48"/>
      <c r="V92" s="48"/>
      <c r="W92" s="48"/>
      <c r="X92" s="48"/>
      <c r="Y92" s="48"/>
      <c r="Z92" s="48"/>
      <c r="AA92" s="48"/>
      <c r="AB92" s="48"/>
      <c r="AC92" s="48"/>
      <c r="AD92" s="48"/>
      <c r="AE92" s="48"/>
      <c r="AF92" s="48"/>
      <c r="AG92" s="48"/>
      <c r="AH92" s="48"/>
      <c r="AI92" s="48"/>
      <c r="AJ92" s="44"/>
      <c r="AK92" s="44"/>
      <c r="AL92" s="44"/>
    </row>
    <row r="93" spans="1:38" ht="27.6" x14ac:dyDescent="0.25">
      <c r="A93" s="94"/>
      <c r="B93" s="265" t="s">
        <v>526</v>
      </c>
      <c r="C93" s="266">
        <v>93200</v>
      </c>
      <c r="D93" s="265" t="s">
        <v>40</v>
      </c>
      <c r="E93" s="265" t="s">
        <v>1645</v>
      </c>
      <c r="F93" s="267" t="s">
        <v>55</v>
      </c>
      <c r="G93" s="277">
        <v>451.95</v>
      </c>
      <c r="H93" s="268">
        <f>I93+K93</f>
        <v>10.32</v>
      </c>
      <c r="I93" s="287">
        <v>6.52</v>
      </c>
      <c r="J93" s="268">
        <f t="shared" si="40"/>
        <v>8.27</v>
      </c>
      <c r="K93" s="292">
        <f>0.01+3.79</f>
        <v>3.8</v>
      </c>
      <c r="L93" s="268">
        <f t="shared" si="41"/>
        <v>4.82</v>
      </c>
      <c r="M93" s="268">
        <f t="shared" si="42"/>
        <v>13.09</v>
      </c>
      <c r="N93" s="268">
        <f t="shared" si="43"/>
        <v>3737.63</v>
      </c>
      <c r="O93" s="268">
        <f t="shared" si="44"/>
        <v>2178.4</v>
      </c>
      <c r="P93" s="268">
        <f t="shared" si="45"/>
        <v>5916.03</v>
      </c>
      <c r="Q93" s="269">
        <f t="shared" si="46"/>
        <v>2.3E-3</v>
      </c>
      <c r="R93" s="44"/>
      <c r="S93" s="49">
        <f t="shared" si="39"/>
        <v>4664.12</v>
      </c>
      <c r="T93" s="126"/>
      <c r="U93" s="48"/>
      <c r="V93" s="48"/>
      <c r="W93" s="48"/>
      <c r="X93" s="48"/>
      <c r="Y93" s="48"/>
      <c r="Z93" s="48"/>
      <c r="AA93" s="48"/>
      <c r="AB93" s="48"/>
      <c r="AC93" s="48"/>
      <c r="AD93" s="48"/>
      <c r="AE93" s="48"/>
      <c r="AF93" s="48"/>
      <c r="AG93" s="48"/>
      <c r="AH93" s="48"/>
      <c r="AI93" s="48"/>
      <c r="AJ93" s="44"/>
      <c r="AK93" s="44"/>
      <c r="AL93" s="44"/>
    </row>
    <row r="94" spans="1:38" x14ac:dyDescent="0.25">
      <c r="A94" s="94"/>
      <c r="B94" s="261" t="s">
        <v>135</v>
      </c>
      <c r="C94" s="261"/>
      <c r="D94" s="261"/>
      <c r="E94" s="261" t="s">
        <v>798</v>
      </c>
      <c r="F94" s="261"/>
      <c r="G94" s="276"/>
      <c r="H94" s="262"/>
      <c r="I94" s="286"/>
      <c r="J94" s="261"/>
      <c r="K94" s="291"/>
      <c r="L94" s="261"/>
      <c r="M94" s="261"/>
      <c r="N94" s="261"/>
      <c r="O94" s="261"/>
      <c r="P94" s="263"/>
      <c r="Q94" s="263"/>
      <c r="R94" s="44"/>
      <c r="S94" s="49">
        <f t="shared" si="39"/>
        <v>0</v>
      </c>
      <c r="T94" s="126"/>
      <c r="U94" s="48"/>
      <c r="V94" s="48"/>
      <c r="W94" s="48"/>
      <c r="X94" s="48"/>
      <c r="Y94" s="48"/>
      <c r="Z94" s="48"/>
      <c r="AA94" s="48"/>
      <c r="AB94" s="48"/>
      <c r="AC94" s="48"/>
      <c r="AD94" s="48"/>
      <c r="AE94" s="48"/>
      <c r="AF94" s="48"/>
      <c r="AG94" s="48"/>
      <c r="AH94" s="48"/>
      <c r="AI94" s="48"/>
      <c r="AJ94" s="44"/>
      <c r="AK94" s="44"/>
      <c r="AL94" s="44"/>
    </row>
    <row r="95" spans="1:38" ht="41.4" x14ac:dyDescent="0.25">
      <c r="A95" s="94"/>
      <c r="B95" s="265" t="s">
        <v>527</v>
      </c>
      <c r="C95" s="266" t="s">
        <v>528</v>
      </c>
      <c r="D95" s="265" t="s">
        <v>40</v>
      </c>
      <c r="E95" s="265" t="s">
        <v>529</v>
      </c>
      <c r="F95" s="267" t="s">
        <v>41</v>
      </c>
      <c r="G95" s="277">
        <v>50.01</v>
      </c>
      <c r="H95" s="268">
        <f>I95+K95</f>
        <v>93.55</v>
      </c>
      <c r="I95" s="287">
        <v>12.51</v>
      </c>
      <c r="J95" s="268">
        <f>I95*(1+$M$9)</f>
        <v>15.87</v>
      </c>
      <c r="K95" s="292">
        <v>81.040000000000006</v>
      </c>
      <c r="L95" s="268">
        <f>K95*(1+$M$9)</f>
        <v>102.82</v>
      </c>
      <c r="M95" s="268">
        <f>L95+J95</f>
        <v>118.69</v>
      </c>
      <c r="N95" s="268">
        <f>J95*G95</f>
        <v>793.66</v>
      </c>
      <c r="O95" s="268">
        <f>L95*G95</f>
        <v>5142.03</v>
      </c>
      <c r="P95" s="268">
        <f>O95+N95</f>
        <v>5935.69</v>
      </c>
      <c r="Q95" s="269">
        <f>P95/$O$485</f>
        <v>2.3E-3</v>
      </c>
      <c r="R95" s="44"/>
      <c r="S95" s="49">
        <f t="shared" si="39"/>
        <v>4678.4399999999996</v>
      </c>
      <c r="T95" s="85"/>
      <c r="U95" s="48"/>
      <c r="V95" s="48"/>
      <c r="W95" s="48"/>
      <c r="X95" s="48"/>
      <c r="Y95" s="48"/>
      <c r="Z95" s="48"/>
      <c r="AA95" s="48"/>
      <c r="AB95" s="48"/>
      <c r="AC95" s="48"/>
      <c r="AD95" s="48"/>
      <c r="AE95" s="48"/>
      <c r="AF95" s="48"/>
      <c r="AG95" s="48"/>
      <c r="AH95" s="48"/>
      <c r="AI95" s="48"/>
      <c r="AJ95" s="44"/>
      <c r="AK95" s="44"/>
      <c r="AL95" s="44"/>
    </row>
    <row r="96" spans="1:38" ht="41.4" x14ac:dyDescent="0.25">
      <c r="A96" s="94"/>
      <c r="B96" s="265" t="s">
        <v>530</v>
      </c>
      <c r="C96" s="266" t="s">
        <v>958</v>
      </c>
      <c r="D96" s="265" t="s">
        <v>100</v>
      </c>
      <c r="E96" s="265" t="s">
        <v>959</v>
      </c>
      <c r="F96" s="267" t="s">
        <v>41</v>
      </c>
      <c r="G96" s="277">
        <v>180.11</v>
      </c>
      <c r="H96" s="268">
        <f>CPUS!L56</f>
        <v>106</v>
      </c>
      <c r="I96" s="287">
        <f>CPUS!H68</f>
        <v>15.74</v>
      </c>
      <c r="J96" s="268">
        <f>I96*(1+$M$9)</f>
        <v>19.97</v>
      </c>
      <c r="K96" s="292">
        <f>H96-I96</f>
        <v>90.26</v>
      </c>
      <c r="L96" s="268">
        <f>K96*(1+$M$9)</f>
        <v>114.51</v>
      </c>
      <c r="M96" s="268">
        <f>L96+J96</f>
        <v>134.47999999999999</v>
      </c>
      <c r="N96" s="268">
        <f>J96*G96</f>
        <v>3596.8</v>
      </c>
      <c r="O96" s="268">
        <f>L96*G96</f>
        <v>20624.400000000001</v>
      </c>
      <c r="P96" s="268">
        <f>O96+N96</f>
        <v>24221.200000000001</v>
      </c>
      <c r="Q96" s="269">
        <f>P96/$O$485</f>
        <v>9.5999999999999992E-3</v>
      </c>
      <c r="R96" s="44"/>
      <c r="S96" s="49">
        <f t="shared" si="39"/>
        <v>19091.66</v>
      </c>
      <c r="T96" s="126"/>
      <c r="U96" s="48"/>
      <c r="V96" s="48"/>
      <c r="W96" s="48"/>
      <c r="X96" s="48"/>
      <c r="Y96" s="48"/>
      <c r="Z96" s="48"/>
      <c r="AA96" s="48"/>
      <c r="AB96" s="48"/>
      <c r="AC96" s="48"/>
      <c r="AD96" s="48"/>
      <c r="AE96" s="48"/>
      <c r="AF96" s="48"/>
      <c r="AG96" s="48"/>
      <c r="AH96" s="48"/>
      <c r="AI96" s="48"/>
      <c r="AJ96" s="44"/>
      <c r="AK96" s="44"/>
      <c r="AL96" s="44"/>
    </row>
    <row r="97" spans="1:38" ht="41.4" x14ac:dyDescent="0.25">
      <c r="A97" s="94"/>
      <c r="B97" s="265" t="s">
        <v>531</v>
      </c>
      <c r="C97" s="266" t="s">
        <v>1008</v>
      </c>
      <c r="D97" s="265" t="s">
        <v>100</v>
      </c>
      <c r="E97" s="265" t="s">
        <v>1009</v>
      </c>
      <c r="F97" s="267" t="s">
        <v>41</v>
      </c>
      <c r="G97" s="277">
        <v>114.28</v>
      </c>
      <c r="H97" s="268">
        <f>CPUS!L72</f>
        <v>175.68</v>
      </c>
      <c r="I97" s="287">
        <f>CPUS!H85</f>
        <v>15.74</v>
      </c>
      <c r="J97" s="268">
        <f>I97*(1+$M$9)</f>
        <v>19.97</v>
      </c>
      <c r="K97" s="292">
        <f>H97-I97</f>
        <v>159.94</v>
      </c>
      <c r="L97" s="268">
        <f>K97*(1+$M$9)</f>
        <v>202.92</v>
      </c>
      <c r="M97" s="268">
        <f>L97+J97</f>
        <v>222.89</v>
      </c>
      <c r="N97" s="268">
        <f>J97*G97</f>
        <v>2282.17</v>
      </c>
      <c r="O97" s="268">
        <f>L97*G97</f>
        <v>23189.7</v>
      </c>
      <c r="P97" s="268">
        <f>O97+N97</f>
        <v>25471.87</v>
      </c>
      <c r="Q97" s="269">
        <f>P97/$O$485</f>
        <v>1.01E-2</v>
      </c>
      <c r="R97" s="44"/>
      <c r="S97" s="49">
        <f t="shared" si="39"/>
        <v>20076.71</v>
      </c>
      <c r="T97" s="85"/>
      <c r="U97" s="48"/>
      <c r="V97" s="48"/>
      <c r="W97" s="48"/>
      <c r="X97" s="48"/>
      <c r="Y97" s="48"/>
      <c r="Z97" s="48"/>
      <c r="AA97" s="48"/>
      <c r="AB97" s="48"/>
      <c r="AC97" s="48"/>
      <c r="AD97" s="48"/>
      <c r="AE97" s="48"/>
      <c r="AF97" s="48"/>
      <c r="AG97" s="48"/>
      <c r="AH97" s="48"/>
      <c r="AI97" s="48"/>
      <c r="AJ97" s="44"/>
      <c r="AK97" s="44"/>
      <c r="AL97" s="44"/>
    </row>
    <row r="98" spans="1:38" ht="41.4" x14ac:dyDescent="0.25">
      <c r="A98" s="94"/>
      <c r="B98" s="265" t="s">
        <v>885</v>
      </c>
      <c r="C98" s="266" t="s">
        <v>1010</v>
      </c>
      <c r="D98" s="265" t="s">
        <v>100</v>
      </c>
      <c r="E98" s="265" t="s">
        <v>1011</v>
      </c>
      <c r="F98" s="267" t="s">
        <v>41</v>
      </c>
      <c r="G98" s="277">
        <v>78.569999999999993</v>
      </c>
      <c r="H98" s="268">
        <f>CPUS!L89</f>
        <v>175.68</v>
      </c>
      <c r="I98" s="287">
        <f>CPUS!H102</f>
        <v>15.74</v>
      </c>
      <c r="J98" s="268">
        <f>I98*(1+$M$9)</f>
        <v>19.97</v>
      </c>
      <c r="K98" s="292">
        <f>H98-I98</f>
        <v>159.94</v>
      </c>
      <c r="L98" s="268">
        <f>K98*(1+$M$9)</f>
        <v>202.92</v>
      </c>
      <c r="M98" s="268">
        <f>L98+J98</f>
        <v>222.89</v>
      </c>
      <c r="N98" s="268">
        <f>J98*G98</f>
        <v>1569.04</v>
      </c>
      <c r="O98" s="268">
        <f>L98*G98</f>
        <v>15943.42</v>
      </c>
      <c r="P98" s="268">
        <f>O98+N98</f>
        <v>17512.46</v>
      </c>
      <c r="Q98" s="269">
        <f>P98/$O$485</f>
        <v>6.8999999999999999E-3</v>
      </c>
      <c r="R98" s="44"/>
      <c r="S98" s="49">
        <f t="shared" si="39"/>
        <v>13803.18</v>
      </c>
      <c r="T98" s="126"/>
      <c r="U98" s="48"/>
      <c r="V98" s="48"/>
      <c r="W98" s="48"/>
      <c r="X98" s="48"/>
      <c r="Y98" s="48"/>
      <c r="Z98" s="48"/>
      <c r="AA98" s="48"/>
      <c r="AB98" s="48"/>
      <c r="AC98" s="48"/>
      <c r="AD98" s="48"/>
      <c r="AE98" s="48"/>
      <c r="AF98" s="48"/>
      <c r="AG98" s="48"/>
      <c r="AH98" s="48"/>
      <c r="AI98" s="48"/>
      <c r="AJ98" s="44"/>
      <c r="AK98" s="44"/>
      <c r="AL98" s="44"/>
    </row>
    <row r="99" spans="1:38" x14ac:dyDescent="0.25">
      <c r="A99" s="94"/>
      <c r="B99" s="261" t="s">
        <v>136</v>
      </c>
      <c r="C99" s="261"/>
      <c r="D99" s="261"/>
      <c r="E99" s="261" t="s">
        <v>270</v>
      </c>
      <c r="F99" s="261"/>
      <c r="G99" s="276"/>
      <c r="H99" s="262"/>
      <c r="I99" s="286"/>
      <c r="J99" s="261"/>
      <c r="K99" s="291"/>
      <c r="L99" s="261"/>
      <c r="M99" s="261"/>
      <c r="N99" s="261"/>
      <c r="O99" s="261"/>
      <c r="P99" s="263"/>
      <c r="Q99" s="263"/>
      <c r="R99" s="44"/>
      <c r="S99" s="49">
        <f t="shared" si="39"/>
        <v>0</v>
      </c>
      <c r="T99" s="126"/>
      <c r="U99" s="48"/>
      <c r="V99" s="48"/>
      <c r="W99" s="48"/>
      <c r="X99" s="48"/>
      <c r="Y99" s="48"/>
      <c r="Z99" s="48"/>
      <c r="AA99" s="48"/>
      <c r="AB99" s="48"/>
      <c r="AC99" s="48"/>
      <c r="AD99" s="48"/>
      <c r="AE99" s="48"/>
      <c r="AF99" s="48"/>
      <c r="AG99" s="48"/>
      <c r="AH99" s="48"/>
      <c r="AI99" s="48"/>
      <c r="AJ99" s="44"/>
      <c r="AK99" s="44"/>
      <c r="AL99" s="44"/>
    </row>
    <row r="100" spans="1:38" ht="27.6" x14ac:dyDescent="0.25">
      <c r="A100" s="94"/>
      <c r="B100" s="265" t="s">
        <v>532</v>
      </c>
      <c r="C100" s="266" t="s">
        <v>272</v>
      </c>
      <c r="D100" s="265" t="s">
        <v>40</v>
      </c>
      <c r="E100" s="265" t="s">
        <v>273</v>
      </c>
      <c r="F100" s="267" t="s">
        <v>41</v>
      </c>
      <c r="G100" s="277">
        <v>0.4</v>
      </c>
      <c r="H100" s="268">
        <f>I100+K100</f>
        <v>317.23</v>
      </c>
      <c r="I100" s="287">
        <v>56.94</v>
      </c>
      <c r="J100" s="268">
        <f>I100*(1+$M$9)</f>
        <v>72.239999999999995</v>
      </c>
      <c r="K100" s="292">
        <f>0.14+260.1+0.05</f>
        <v>260.29000000000002</v>
      </c>
      <c r="L100" s="268">
        <f>K100*(1+$M$9)</f>
        <v>330.23</v>
      </c>
      <c r="M100" s="268">
        <f>L100+J100</f>
        <v>402.47</v>
      </c>
      <c r="N100" s="268">
        <f>J100*G100</f>
        <v>28.9</v>
      </c>
      <c r="O100" s="268">
        <f>L100*G100</f>
        <v>132.09</v>
      </c>
      <c r="P100" s="268">
        <f>O100+N100</f>
        <v>160.99</v>
      </c>
      <c r="Q100" s="269">
        <f>P100/$O$485</f>
        <v>1E-4</v>
      </c>
      <c r="R100" s="44"/>
      <c r="S100" s="49">
        <f t="shared" si="39"/>
        <v>126.89</v>
      </c>
      <c r="T100" s="126"/>
      <c r="U100" s="48"/>
      <c r="V100" s="48"/>
      <c r="W100" s="48"/>
      <c r="X100" s="48"/>
      <c r="Y100" s="48"/>
      <c r="Z100" s="48"/>
      <c r="AA100" s="48"/>
      <c r="AB100" s="48"/>
      <c r="AC100" s="48"/>
      <c r="AD100" s="48"/>
      <c r="AE100" s="48"/>
      <c r="AF100" s="48"/>
      <c r="AG100" s="48"/>
      <c r="AH100" s="48"/>
      <c r="AI100" s="48"/>
      <c r="AJ100" s="44"/>
      <c r="AK100" s="44"/>
      <c r="AL100" s="44"/>
    </row>
    <row r="101" spans="1:38" x14ac:dyDescent="0.25">
      <c r="A101" s="94"/>
      <c r="B101" s="265" t="s">
        <v>1454</v>
      </c>
      <c r="C101" s="266" t="s">
        <v>1455</v>
      </c>
      <c r="D101" s="265" t="s">
        <v>146</v>
      </c>
      <c r="E101" s="265" t="s">
        <v>1456</v>
      </c>
      <c r="F101" s="267" t="s">
        <v>41</v>
      </c>
      <c r="G101" s="277">
        <v>13.96</v>
      </c>
      <c r="H101" s="268">
        <v>130</v>
      </c>
      <c r="I101" s="287">
        <v>0</v>
      </c>
      <c r="J101" s="268">
        <f>I101*(1+$M$9)</f>
        <v>0</v>
      </c>
      <c r="K101" s="292">
        <v>130</v>
      </c>
      <c r="L101" s="268">
        <f>K101*(1+$M$9)</f>
        <v>164.93</v>
      </c>
      <c r="M101" s="268">
        <f>L101+J101</f>
        <v>164.93</v>
      </c>
      <c r="N101" s="268">
        <f>J101*G101</f>
        <v>0</v>
      </c>
      <c r="O101" s="268">
        <f>L101*G101</f>
        <v>2302.42</v>
      </c>
      <c r="P101" s="268">
        <f>O101+N101</f>
        <v>2302.42</v>
      </c>
      <c r="Q101" s="269">
        <f>P101/$O$485</f>
        <v>8.9999999999999998E-4</v>
      </c>
      <c r="R101" s="44"/>
      <c r="S101" s="49">
        <f t="shared" si="39"/>
        <v>1814.8</v>
      </c>
      <c r="T101" s="126"/>
      <c r="U101" s="48"/>
      <c r="V101" s="48"/>
      <c r="W101" s="48"/>
      <c r="X101" s="48"/>
      <c r="Y101" s="48"/>
      <c r="Z101" s="48"/>
      <c r="AA101" s="48"/>
      <c r="AB101" s="48"/>
      <c r="AC101" s="48"/>
      <c r="AD101" s="48"/>
      <c r="AE101" s="48"/>
      <c r="AF101" s="48"/>
      <c r="AG101" s="48"/>
      <c r="AH101" s="48"/>
      <c r="AI101" s="48"/>
      <c r="AJ101" s="44"/>
      <c r="AK101" s="44"/>
      <c r="AL101" s="44"/>
    </row>
    <row r="102" spans="1:38" x14ac:dyDescent="0.25">
      <c r="A102" s="94"/>
      <c r="B102" s="265" t="s">
        <v>1457</v>
      </c>
      <c r="C102" s="266" t="s">
        <v>1458</v>
      </c>
      <c r="D102" s="265" t="s">
        <v>51</v>
      </c>
      <c r="E102" s="265" t="s">
        <v>1459</v>
      </c>
      <c r="F102" s="267" t="s">
        <v>41</v>
      </c>
      <c r="G102" s="277">
        <v>1.58</v>
      </c>
      <c r="H102" s="268">
        <v>102.55</v>
      </c>
      <c r="I102" s="287">
        <f>8.27+6.13+5.24+9.64</f>
        <v>29.28</v>
      </c>
      <c r="J102" s="268">
        <f>I102*(1+$M$9)</f>
        <v>37.15</v>
      </c>
      <c r="K102" s="292">
        <f>H102-I102</f>
        <v>73.27</v>
      </c>
      <c r="L102" s="268">
        <f>K102*(1+$M$9)</f>
        <v>92.96</v>
      </c>
      <c r="M102" s="268">
        <f>L102+J102</f>
        <v>130.11000000000001</v>
      </c>
      <c r="N102" s="268">
        <f>J102*G102</f>
        <v>58.7</v>
      </c>
      <c r="O102" s="268">
        <f>L102*G102</f>
        <v>146.88</v>
      </c>
      <c r="P102" s="268">
        <f>O102+N102</f>
        <v>205.58</v>
      </c>
      <c r="Q102" s="269">
        <f>P102/$O$485</f>
        <v>1E-4</v>
      </c>
      <c r="R102" s="44"/>
      <c r="S102" s="49">
        <f t="shared" si="39"/>
        <v>162.03</v>
      </c>
      <c r="T102" s="126"/>
      <c r="U102" s="48"/>
      <c r="V102" s="48"/>
      <c r="W102" s="48"/>
      <c r="X102" s="48"/>
      <c r="Y102" s="48"/>
      <c r="Z102" s="48"/>
      <c r="AA102" s="48"/>
      <c r="AB102" s="48"/>
      <c r="AC102" s="48"/>
      <c r="AD102" s="48"/>
      <c r="AE102" s="48"/>
      <c r="AF102" s="48"/>
      <c r="AG102" s="48"/>
      <c r="AH102" s="48"/>
      <c r="AI102" s="48"/>
      <c r="AJ102" s="44"/>
      <c r="AK102" s="44"/>
      <c r="AL102" s="44"/>
    </row>
    <row r="103" spans="1:38" x14ac:dyDescent="0.25">
      <c r="A103" s="94"/>
      <c r="B103" s="261">
        <v>5</v>
      </c>
      <c r="C103" s="261"/>
      <c r="D103" s="261"/>
      <c r="E103" s="261" t="s">
        <v>148</v>
      </c>
      <c r="F103" s="261"/>
      <c r="G103" s="276"/>
      <c r="H103" s="262"/>
      <c r="I103" s="286"/>
      <c r="J103" s="261"/>
      <c r="K103" s="291"/>
      <c r="L103" s="261"/>
      <c r="M103" s="261"/>
      <c r="N103" s="261"/>
      <c r="O103" s="261"/>
      <c r="P103" s="263"/>
      <c r="Q103" s="263"/>
      <c r="R103" s="44"/>
      <c r="S103" s="49">
        <f t="shared" si="39"/>
        <v>0</v>
      </c>
      <c r="T103" s="126"/>
      <c r="U103" s="48"/>
      <c r="V103" s="48"/>
      <c r="W103" s="48"/>
      <c r="X103" s="48"/>
      <c r="Y103" s="48"/>
      <c r="Z103" s="48"/>
      <c r="AA103" s="48"/>
      <c r="AB103" s="48"/>
      <c r="AC103" s="48"/>
      <c r="AD103" s="48"/>
      <c r="AE103" s="48"/>
      <c r="AF103" s="48"/>
      <c r="AG103" s="48"/>
      <c r="AH103" s="48"/>
      <c r="AI103" s="48"/>
      <c r="AJ103" s="44"/>
      <c r="AK103" s="44"/>
      <c r="AL103" s="44"/>
    </row>
    <row r="104" spans="1:38" x14ac:dyDescent="0.25">
      <c r="A104" s="94"/>
      <c r="B104" s="261" t="s">
        <v>140</v>
      </c>
      <c r="C104" s="261"/>
      <c r="D104" s="261"/>
      <c r="E104" s="261" t="s">
        <v>83</v>
      </c>
      <c r="F104" s="261"/>
      <c r="G104" s="276"/>
      <c r="H104" s="262"/>
      <c r="I104" s="286"/>
      <c r="J104" s="261"/>
      <c r="K104" s="291"/>
      <c r="L104" s="261"/>
      <c r="M104" s="261"/>
      <c r="N104" s="261"/>
      <c r="O104" s="261"/>
      <c r="P104" s="263"/>
      <c r="Q104" s="263"/>
      <c r="R104" s="44"/>
      <c r="S104" s="49">
        <f t="shared" si="39"/>
        <v>0</v>
      </c>
      <c r="T104" s="126"/>
      <c r="U104" s="48"/>
      <c r="V104" s="48"/>
      <c r="W104" s="48"/>
      <c r="X104" s="48"/>
      <c r="Y104" s="48"/>
      <c r="Z104" s="48"/>
      <c r="AA104" s="48"/>
      <c r="AB104" s="48"/>
      <c r="AC104" s="48"/>
      <c r="AD104" s="48"/>
      <c r="AE104" s="48"/>
      <c r="AF104" s="48"/>
      <c r="AG104" s="48"/>
      <c r="AH104" s="48"/>
      <c r="AI104" s="48"/>
      <c r="AJ104" s="44"/>
      <c r="AK104" s="44"/>
      <c r="AL104" s="44"/>
    </row>
    <row r="105" spans="1:38" ht="41.4" x14ac:dyDescent="0.25">
      <c r="A105" s="94"/>
      <c r="B105" s="265" t="s">
        <v>533</v>
      </c>
      <c r="C105" s="266" t="s">
        <v>1012</v>
      </c>
      <c r="D105" s="265" t="s">
        <v>40</v>
      </c>
      <c r="E105" s="265" t="s">
        <v>1013</v>
      </c>
      <c r="F105" s="267" t="s">
        <v>65</v>
      </c>
      <c r="G105" s="277">
        <v>1345</v>
      </c>
      <c r="H105" s="268">
        <f>I105+K105</f>
        <v>19.52</v>
      </c>
      <c r="I105" s="287">
        <v>1.06</v>
      </c>
      <c r="J105" s="268">
        <f>I105*(1+$M$9)</f>
        <v>1.34</v>
      </c>
      <c r="K105" s="292">
        <f>0.71+17.74+0.01</f>
        <v>18.46</v>
      </c>
      <c r="L105" s="268">
        <f>K105*(1+$M$9)</f>
        <v>23.42</v>
      </c>
      <c r="M105" s="268">
        <f>L105+J105</f>
        <v>24.76</v>
      </c>
      <c r="N105" s="268">
        <f>J105*G105</f>
        <v>1802.3</v>
      </c>
      <c r="O105" s="268">
        <f>L105*G105</f>
        <v>31499.9</v>
      </c>
      <c r="P105" s="268">
        <f>O105+N105</f>
        <v>33302.199999999997</v>
      </c>
      <c r="Q105" s="269">
        <f>P105/$O$485</f>
        <v>1.32E-2</v>
      </c>
      <c r="R105" s="44"/>
      <c r="S105" s="49">
        <f t="shared" si="39"/>
        <v>26254.400000000001</v>
      </c>
      <c r="T105" s="126"/>
      <c r="U105" s="48"/>
      <c r="V105" s="48"/>
      <c r="W105" s="48"/>
      <c r="X105" s="48"/>
      <c r="Y105" s="48"/>
      <c r="Z105" s="48"/>
      <c r="AA105" s="48"/>
      <c r="AB105" s="48"/>
      <c r="AC105" s="48"/>
      <c r="AD105" s="48"/>
      <c r="AE105" s="48"/>
      <c r="AF105" s="48"/>
      <c r="AG105" s="48"/>
      <c r="AH105" s="48"/>
      <c r="AI105" s="48"/>
      <c r="AJ105" s="44"/>
      <c r="AK105" s="44"/>
      <c r="AL105" s="44"/>
    </row>
    <row r="106" spans="1:38" ht="41.4" x14ac:dyDescent="0.25">
      <c r="A106" s="94"/>
      <c r="B106" s="265" t="s">
        <v>799</v>
      </c>
      <c r="C106" s="266" t="s">
        <v>152</v>
      </c>
      <c r="D106" s="265" t="s">
        <v>40</v>
      </c>
      <c r="E106" s="265" t="s">
        <v>153</v>
      </c>
      <c r="F106" s="267" t="s">
        <v>41</v>
      </c>
      <c r="G106" s="277">
        <v>459.5</v>
      </c>
      <c r="H106" s="268">
        <f>I106+K106</f>
        <v>24.78</v>
      </c>
      <c r="I106" s="287">
        <v>3.97</v>
      </c>
      <c r="J106" s="268">
        <f>I106*(1+$M$9)</f>
        <v>5.04</v>
      </c>
      <c r="K106" s="292">
        <f>0.33+20.46+0.02</f>
        <v>20.81</v>
      </c>
      <c r="L106" s="268">
        <f>K106*(1+$M$9)</f>
        <v>26.4</v>
      </c>
      <c r="M106" s="268">
        <f>L106+J106</f>
        <v>31.44</v>
      </c>
      <c r="N106" s="268">
        <f>J106*G106</f>
        <v>2315.88</v>
      </c>
      <c r="O106" s="268">
        <f>L106*G106</f>
        <v>12130.8</v>
      </c>
      <c r="P106" s="268">
        <f>O106+N106</f>
        <v>14446.68</v>
      </c>
      <c r="Q106" s="269">
        <f>P106/$O$485</f>
        <v>5.7000000000000002E-3</v>
      </c>
      <c r="R106" s="44"/>
      <c r="S106" s="49">
        <f t="shared" si="39"/>
        <v>11386.41</v>
      </c>
      <c r="T106" s="126"/>
      <c r="U106" s="48"/>
      <c r="V106" s="48"/>
      <c r="W106" s="48"/>
      <c r="X106" s="48"/>
      <c r="Y106" s="48"/>
      <c r="Z106" s="48"/>
      <c r="AA106" s="48"/>
      <c r="AB106" s="48"/>
      <c r="AC106" s="48"/>
      <c r="AD106" s="48"/>
      <c r="AE106" s="48"/>
      <c r="AF106" s="48"/>
      <c r="AG106" s="48"/>
      <c r="AH106" s="48"/>
      <c r="AI106" s="48"/>
      <c r="AJ106" s="44"/>
      <c r="AK106" s="44"/>
      <c r="AL106" s="44"/>
    </row>
    <row r="107" spans="1:38" ht="41.4" x14ac:dyDescent="0.25">
      <c r="A107" s="94"/>
      <c r="B107" s="265" t="s">
        <v>1169</v>
      </c>
      <c r="C107" s="266">
        <v>92543</v>
      </c>
      <c r="D107" s="265" t="s">
        <v>40</v>
      </c>
      <c r="E107" s="265" t="s">
        <v>154</v>
      </c>
      <c r="F107" s="267" t="s">
        <v>41</v>
      </c>
      <c r="G107" s="277">
        <v>459.5</v>
      </c>
      <c r="H107" s="268">
        <f>I107+K107</f>
        <v>22.87</v>
      </c>
      <c r="I107" s="287">
        <v>3.27</v>
      </c>
      <c r="J107" s="268">
        <f>I107*(1+$M$9)</f>
        <v>4.1500000000000004</v>
      </c>
      <c r="K107" s="292">
        <v>19.600000000000001</v>
      </c>
      <c r="L107" s="268">
        <f>K107*(1+$M$9)</f>
        <v>24.87</v>
      </c>
      <c r="M107" s="268">
        <f>L107+J107</f>
        <v>29.02</v>
      </c>
      <c r="N107" s="268">
        <f>J107*G107</f>
        <v>1906.93</v>
      </c>
      <c r="O107" s="268">
        <f>L107*G107</f>
        <v>11427.77</v>
      </c>
      <c r="P107" s="268">
        <f>O107+N107</f>
        <v>13334.7</v>
      </c>
      <c r="Q107" s="269">
        <f>P107/$O$485</f>
        <v>5.3E-3</v>
      </c>
      <c r="R107" s="44"/>
      <c r="S107" s="49">
        <f t="shared" si="39"/>
        <v>10508.77</v>
      </c>
      <c r="T107" s="126"/>
      <c r="U107" s="48"/>
      <c r="V107" s="48"/>
      <c r="W107" s="48"/>
      <c r="X107" s="48"/>
      <c r="Y107" s="48"/>
      <c r="Z107" s="48"/>
      <c r="AA107" s="48"/>
      <c r="AB107" s="48"/>
      <c r="AC107" s="48"/>
      <c r="AD107" s="48"/>
      <c r="AE107" s="48"/>
      <c r="AF107" s="48"/>
      <c r="AG107" s="48"/>
      <c r="AH107" s="48"/>
      <c r="AI107" s="48"/>
      <c r="AJ107" s="44"/>
      <c r="AK107" s="44"/>
      <c r="AL107" s="44"/>
    </row>
    <row r="108" spans="1:38" x14ac:dyDescent="0.25">
      <c r="A108" s="94"/>
      <c r="B108" s="261" t="s">
        <v>143</v>
      </c>
      <c r="C108" s="261"/>
      <c r="D108" s="261"/>
      <c r="E108" s="261" t="s">
        <v>550</v>
      </c>
      <c r="F108" s="261"/>
      <c r="G108" s="276"/>
      <c r="H108" s="262"/>
      <c r="I108" s="286"/>
      <c r="J108" s="261"/>
      <c r="K108" s="291"/>
      <c r="L108" s="261"/>
      <c r="M108" s="261"/>
      <c r="N108" s="261"/>
      <c r="O108" s="261"/>
      <c r="P108" s="263"/>
      <c r="Q108" s="263"/>
      <c r="R108" s="44"/>
      <c r="S108" s="49">
        <f t="shared" si="39"/>
        <v>0</v>
      </c>
      <c r="T108" s="126"/>
      <c r="U108" s="48"/>
      <c r="V108" s="48"/>
      <c r="W108" s="48"/>
      <c r="X108" s="48"/>
      <c r="Y108" s="48"/>
      <c r="Z108" s="48"/>
      <c r="AA108" s="48"/>
      <c r="AB108" s="48"/>
      <c r="AC108" s="48"/>
      <c r="AD108" s="48"/>
      <c r="AE108" s="48"/>
      <c r="AF108" s="48"/>
      <c r="AG108" s="48"/>
      <c r="AH108" s="48"/>
      <c r="AI108" s="48"/>
      <c r="AJ108" s="44"/>
      <c r="AK108" s="44"/>
      <c r="AL108" s="44"/>
    </row>
    <row r="109" spans="1:38" ht="41.4" x14ac:dyDescent="0.25">
      <c r="A109" s="94"/>
      <c r="B109" s="265" t="s">
        <v>536</v>
      </c>
      <c r="C109" s="266" t="s">
        <v>150</v>
      </c>
      <c r="D109" s="265" t="s">
        <v>40</v>
      </c>
      <c r="E109" s="265" t="s">
        <v>151</v>
      </c>
      <c r="F109" s="267" t="s">
        <v>41</v>
      </c>
      <c r="G109" s="277">
        <v>459.5</v>
      </c>
      <c r="H109" s="268">
        <f>I109+K109</f>
        <v>53.71</v>
      </c>
      <c r="I109" s="287">
        <v>4.34</v>
      </c>
      <c r="J109" s="268">
        <f>I109*(1+$M$9)</f>
        <v>5.51</v>
      </c>
      <c r="K109" s="292">
        <v>49.37</v>
      </c>
      <c r="L109" s="268">
        <f>K109*(1+$M$9)</f>
        <v>62.64</v>
      </c>
      <c r="M109" s="268">
        <f>L109+J109</f>
        <v>68.150000000000006</v>
      </c>
      <c r="N109" s="268">
        <f>J109*G109</f>
        <v>2531.85</v>
      </c>
      <c r="O109" s="268">
        <f>L109*G109</f>
        <v>28783.08</v>
      </c>
      <c r="P109" s="268">
        <f>O109+N109</f>
        <v>31314.93</v>
      </c>
      <c r="Q109" s="269">
        <f>P109/$O$485</f>
        <v>1.24E-2</v>
      </c>
      <c r="R109" s="44"/>
      <c r="S109" s="49">
        <f t="shared" si="39"/>
        <v>24679.75</v>
      </c>
      <c r="T109" s="126"/>
      <c r="U109" s="48"/>
      <c r="V109" s="48"/>
      <c r="W109" s="48"/>
      <c r="X109" s="48"/>
      <c r="Y109" s="48"/>
      <c r="Z109" s="48"/>
      <c r="AA109" s="48"/>
      <c r="AB109" s="48"/>
      <c r="AC109" s="48"/>
      <c r="AD109" s="48"/>
      <c r="AE109" s="48"/>
      <c r="AF109" s="48"/>
      <c r="AG109" s="48"/>
      <c r="AH109" s="48"/>
      <c r="AI109" s="48"/>
      <c r="AJ109" s="44"/>
      <c r="AK109" s="44"/>
      <c r="AL109" s="44"/>
    </row>
    <row r="110" spans="1:38" x14ac:dyDescent="0.25">
      <c r="A110" s="94"/>
      <c r="B110" s="265" t="s">
        <v>538</v>
      </c>
      <c r="C110" s="266">
        <v>100113</v>
      </c>
      <c r="D110" s="265" t="s">
        <v>51</v>
      </c>
      <c r="E110" s="265" t="s">
        <v>1015</v>
      </c>
      <c r="F110" s="267" t="s">
        <v>41</v>
      </c>
      <c r="G110" s="277">
        <v>34.409999999999997</v>
      </c>
      <c r="H110" s="268">
        <v>104.62</v>
      </c>
      <c r="I110" s="287">
        <v>0</v>
      </c>
      <c r="J110" s="268">
        <f>I110*(1+$M$9)</f>
        <v>0</v>
      </c>
      <c r="K110" s="292">
        <f>H110</f>
        <v>104.62</v>
      </c>
      <c r="L110" s="268">
        <f>K110*(1+$M$9)</f>
        <v>132.72999999999999</v>
      </c>
      <c r="M110" s="268">
        <f>L110+J110</f>
        <v>132.72999999999999</v>
      </c>
      <c r="N110" s="268">
        <f>J110*G110</f>
        <v>0</v>
      </c>
      <c r="O110" s="268">
        <f>L110*G110</f>
        <v>4567.24</v>
      </c>
      <c r="P110" s="268">
        <f>O110+N110</f>
        <v>4567.24</v>
      </c>
      <c r="Q110" s="269">
        <f>P110/$O$485</f>
        <v>1.8E-3</v>
      </c>
      <c r="R110" s="44"/>
      <c r="S110" s="49">
        <f t="shared" si="39"/>
        <v>3599.97</v>
      </c>
      <c r="T110" s="126"/>
      <c r="U110" s="48"/>
      <c r="V110" s="48"/>
      <c r="W110" s="48"/>
      <c r="X110" s="48"/>
      <c r="Y110" s="48"/>
      <c r="Z110" s="48"/>
      <c r="AA110" s="48"/>
      <c r="AB110" s="48"/>
      <c r="AC110" s="48"/>
      <c r="AD110" s="48"/>
      <c r="AE110" s="48"/>
      <c r="AF110" s="48"/>
      <c r="AG110" s="48"/>
      <c r="AH110" s="48"/>
      <c r="AI110" s="48"/>
      <c r="AJ110" s="44"/>
      <c r="AK110" s="44"/>
      <c r="AL110" s="44"/>
    </row>
    <row r="111" spans="1:38" x14ac:dyDescent="0.25">
      <c r="A111" s="94"/>
      <c r="B111" s="261" t="s">
        <v>144</v>
      </c>
      <c r="C111" s="261"/>
      <c r="D111" s="261"/>
      <c r="E111" s="261" t="s">
        <v>552</v>
      </c>
      <c r="F111" s="261"/>
      <c r="G111" s="276"/>
      <c r="H111" s="262"/>
      <c r="I111" s="286"/>
      <c r="J111" s="261"/>
      <c r="K111" s="291"/>
      <c r="L111" s="261"/>
      <c r="M111" s="261"/>
      <c r="N111" s="261"/>
      <c r="O111" s="261"/>
      <c r="P111" s="263"/>
      <c r="Q111" s="263"/>
      <c r="R111" s="44"/>
      <c r="S111" s="49">
        <f t="shared" si="39"/>
        <v>0</v>
      </c>
      <c r="T111" s="126"/>
      <c r="U111" s="48"/>
      <c r="V111" s="48"/>
      <c r="W111" s="48"/>
      <c r="X111" s="48"/>
      <c r="Y111" s="48"/>
      <c r="Z111" s="48"/>
      <c r="AA111" s="48"/>
      <c r="AB111" s="48"/>
      <c r="AC111" s="48"/>
      <c r="AD111" s="48"/>
      <c r="AE111" s="48"/>
      <c r="AF111" s="48"/>
      <c r="AG111" s="48"/>
      <c r="AH111" s="48"/>
      <c r="AI111" s="48"/>
      <c r="AJ111" s="44"/>
      <c r="AK111" s="44"/>
      <c r="AL111" s="44"/>
    </row>
    <row r="112" spans="1:38" ht="27.6" x14ac:dyDescent="0.25">
      <c r="A112" s="94"/>
      <c r="B112" s="265" t="s">
        <v>540</v>
      </c>
      <c r="C112" s="266" t="s">
        <v>156</v>
      </c>
      <c r="D112" s="265" t="s">
        <v>40</v>
      </c>
      <c r="E112" s="265" t="s">
        <v>157</v>
      </c>
      <c r="F112" s="267" t="s">
        <v>55</v>
      </c>
      <c r="G112" s="277">
        <v>90.1</v>
      </c>
      <c r="H112" s="268">
        <f>I112+K112</f>
        <v>141.59</v>
      </c>
      <c r="I112" s="287">
        <v>19.07</v>
      </c>
      <c r="J112" s="268">
        <f>I112*(1+$M$9)</f>
        <v>24.19</v>
      </c>
      <c r="K112" s="292">
        <v>122.52</v>
      </c>
      <c r="L112" s="268">
        <f>K112*(1+$M$9)</f>
        <v>155.44</v>
      </c>
      <c r="M112" s="268">
        <f>L112+J112</f>
        <v>179.63</v>
      </c>
      <c r="N112" s="268">
        <f>J112*G112</f>
        <v>2179.52</v>
      </c>
      <c r="O112" s="268">
        <f>L112*G112</f>
        <v>14005.14</v>
      </c>
      <c r="P112" s="268">
        <f>O112+N112</f>
        <v>16184.66</v>
      </c>
      <c r="Q112" s="269">
        <f>P112/$O$485</f>
        <v>6.4000000000000003E-3</v>
      </c>
      <c r="R112" s="44"/>
      <c r="S112" s="49">
        <f t="shared" si="39"/>
        <v>12757.26</v>
      </c>
      <c r="T112" s="126"/>
      <c r="U112" s="48"/>
      <c r="V112" s="48"/>
      <c r="W112" s="48"/>
      <c r="X112" s="48"/>
      <c r="Y112" s="48"/>
      <c r="Z112" s="48"/>
      <c r="AA112" s="48"/>
      <c r="AB112" s="48"/>
      <c r="AC112" s="48"/>
      <c r="AD112" s="48"/>
      <c r="AE112" s="48"/>
      <c r="AF112" s="48"/>
      <c r="AG112" s="48"/>
      <c r="AH112" s="48"/>
      <c r="AI112" s="48"/>
      <c r="AJ112" s="44"/>
      <c r="AK112" s="44"/>
      <c r="AL112" s="44"/>
    </row>
    <row r="113" spans="1:38" ht="27.6" x14ac:dyDescent="0.25">
      <c r="A113" s="94"/>
      <c r="B113" s="265" t="s">
        <v>800</v>
      </c>
      <c r="C113" s="266">
        <v>94231</v>
      </c>
      <c r="D113" s="265" t="s">
        <v>40</v>
      </c>
      <c r="E113" s="265" t="s">
        <v>155</v>
      </c>
      <c r="F113" s="267" t="s">
        <v>55</v>
      </c>
      <c r="G113" s="277">
        <v>76.680000000000007</v>
      </c>
      <c r="H113" s="268">
        <f>I113+K113</f>
        <v>44.82</v>
      </c>
      <c r="I113" s="287">
        <v>5.41</v>
      </c>
      <c r="J113" s="268">
        <f>I113*(1+$M$9)</f>
        <v>6.86</v>
      </c>
      <c r="K113" s="292">
        <v>39.409999999999997</v>
      </c>
      <c r="L113" s="268">
        <f>K113*(1+$M$9)</f>
        <v>50</v>
      </c>
      <c r="M113" s="268">
        <f>L113+J113</f>
        <v>56.86</v>
      </c>
      <c r="N113" s="268">
        <f>J113*G113</f>
        <v>526.02</v>
      </c>
      <c r="O113" s="268">
        <f>L113*G113</f>
        <v>3834</v>
      </c>
      <c r="P113" s="268">
        <f>O113+N113</f>
        <v>4360.0200000000004</v>
      </c>
      <c r="Q113" s="269">
        <f>P113/$O$485</f>
        <v>1.6999999999999999E-3</v>
      </c>
      <c r="R113" s="44"/>
      <c r="S113" s="49">
        <f t="shared" si="39"/>
        <v>3436.8</v>
      </c>
      <c r="T113" s="126"/>
      <c r="U113" s="48"/>
      <c r="V113" s="48"/>
      <c r="W113" s="48"/>
      <c r="X113" s="48"/>
      <c r="Y113" s="48"/>
      <c r="Z113" s="48"/>
      <c r="AA113" s="48"/>
      <c r="AB113" s="48"/>
      <c r="AC113" s="48"/>
      <c r="AD113" s="48"/>
      <c r="AE113" s="48"/>
      <c r="AF113" s="48"/>
      <c r="AG113" s="48"/>
      <c r="AH113" s="48"/>
      <c r="AI113" s="48"/>
      <c r="AJ113" s="44"/>
      <c r="AK113" s="44"/>
      <c r="AL113" s="44"/>
    </row>
    <row r="114" spans="1:38" ht="27.6" x14ac:dyDescent="0.25">
      <c r="A114" s="94"/>
      <c r="B114" s="265" t="s">
        <v>801</v>
      </c>
      <c r="C114" s="266">
        <v>94451</v>
      </c>
      <c r="D114" s="265" t="s">
        <v>40</v>
      </c>
      <c r="E114" s="265" t="s">
        <v>1182</v>
      </c>
      <c r="F114" s="267" t="s">
        <v>55</v>
      </c>
      <c r="G114" s="277">
        <v>33.4</v>
      </c>
      <c r="H114" s="268">
        <f>I114+K114</f>
        <v>102.77</v>
      </c>
      <c r="I114" s="287">
        <v>2.19</v>
      </c>
      <c r="J114" s="268">
        <f>I114*(1+$M$9)</f>
        <v>2.78</v>
      </c>
      <c r="K114" s="292">
        <v>100.58</v>
      </c>
      <c r="L114" s="268">
        <f>K114*(1+$M$9)</f>
        <v>127.61</v>
      </c>
      <c r="M114" s="268">
        <f>L114+J114</f>
        <v>130.38999999999999</v>
      </c>
      <c r="N114" s="268">
        <f>J114*G114</f>
        <v>92.85</v>
      </c>
      <c r="O114" s="268">
        <f>L114*G114</f>
        <v>4262.17</v>
      </c>
      <c r="P114" s="268">
        <f>O114+N114</f>
        <v>4355.0200000000004</v>
      </c>
      <c r="Q114" s="269">
        <f>P114/$O$485</f>
        <v>1.6999999999999999E-3</v>
      </c>
      <c r="R114" s="44"/>
      <c r="S114" s="49">
        <f t="shared" si="39"/>
        <v>3432.52</v>
      </c>
      <c r="T114" s="126"/>
      <c r="U114" s="48"/>
      <c r="V114" s="48"/>
      <c r="W114" s="48"/>
      <c r="X114" s="48"/>
      <c r="Y114" s="48"/>
      <c r="Z114" s="48"/>
      <c r="AA114" s="48"/>
      <c r="AB114" s="48"/>
      <c r="AC114" s="48"/>
      <c r="AD114" s="48"/>
      <c r="AE114" s="48"/>
      <c r="AF114" s="48"/>
      <c r="AG114" s="48"/>
      <c r="AH114" s="48"/>
      <c r="AI114" s="48"/>
      <c r="AJ114" s="44"/>
      <c r="AK114" s="44"/>
      <c r="AL114" s="44"/>
    </row>
    <row r="115" spans="1:38" x14ac:dyDescent="0.25">
      <c r="A115" s="94"/>
      <c r="B115" s="261">
        <v>6</v>
      </c>
      <c r="C115" s="261"/>
      <c r="D115" s="261"/>
      <c r="E115" s="261" t="s">
        <v>553</v>
      </c>
      <c r="F115" s="261"/>
      <c r="G115" s="276"/>
      <c r="H115" s="262"/>
      <c r="I115" s="286"/>
      <c r="J115" s="261"/>
      <c r="K115" s="291"/>
      <c r="L115" s="261"/>
      <c r="M115" s="261"/>
      <c r="N115" s="261"/>
      <c r="O115" s="261"/>
      <c r="P115" s="263"/>
      <c r="Q115" s="263"/>
      <c r="R115" s="44"/>
      <c r="S115" s="49">
        <f t="shared" si="39"/>
        <v>0</v>
      </c>
      <c r="T115" s="126"/>
      <c r="U115" s="48"/>
      <c r="V115" s="48"/>
      <c r="W115" s="48"/>
      <c r="X115" s="48"/>
      <c r="Y115" s="48"/>
      <c r="Z115" s="48"/>
      <c r="AA115" s="48"/>
      <c r="AB115" s="48"/>
      <c r="AC115" s="48"/>
      <c r="AD115" s="48"/>
      <c r="AE115" s="48"/>
      <c r="AF115" s="48"/>
      <c r="AG115" s="48"/>
      <c r="AH115" s="48"/>
      <c r="AI115" s="48"/>
      <c r="AJ115" s="44"/>
      <c r="AK115" s="44"/>
      <c r="AL115" s="44"/>
    </row>
    <row r="116" spans="1:38" ht="27.6" x14ac:dyDescent="0.25">
      <c r="A116" s="94"/>
      <c r="B116" s="265" t="s">
        <v>149</v>
      </c>
      <c r="C116" s="266" t="s">
        <v>554</v>
      </c>
      <c r="D116" s="265" t="s">
        <v>40</v>
      </c>
      <c r="E116" s="265" t="s">
        <v>555</v>
      </c>
      <c r="F116" s="267" t="s">
        <v>41</v>
      </c>
      <c r="G116" s="277">
        <v>158.86000000000001</v>
      </c>
      <c r="H116" s="268">
        <f>I116+K116</f>
        <v>53.58</v>
      </c>
      <c r="I116" s="287">
        <v>21.6</v>
      </c>
      <c r="J116" s="268">
        <f>I116*(1+$M$9)</f>
        <v>27.4</v>
      </c>
      <c r="K116" s="292">
        <v>31.98</v>
      </c>
      <c r="L116" s="268">
        <f>K116*(1+$M$9)</f>
        <v>40.57</v>
      </c>
      <c r="M116" s="268">
        <f>L116+J116</f>
        <v>67.97</v>
      </c>
      <c r="N116" s="268">
        <f>J116*G116</f>
        <v>4352.76</v>
      </c>
      <c r="O116" s="268">
        <f>L116*G116</f>
        <v>6444.95</v>
      </c>
      <c r="P116" s="268">
        <f>O116+N116</f>
        <v>10797.71</v>
      </c>
      <c r="Q116" s="269">
        <f>P116/$O$485</f>
        <v>4.3E-3</v>
      </c>
      <c r="R116" s="44"/>
      <c r="S116" s="49">
        <f t="shared" si="39"/>
        <v>8511.7199999999993</v>
      </c>
      <c r="T116" s="126"/>
      <c r="U116" s="48"/>
      <c r="V116" s="48"/>
      <c r="W116" s="48"/>
      <c r="X116" s="48"/>
      <c r="Y116" s="48"/>
      <c r="Z116" s="48"/>
      <c r="AA116" s="48"/>
      <c r="AB116" s="48"/>
      <c r="AC116" s="48"/>
      <c r="AD116" s="48"/>
      <c r="AE116" s="48"/>
      <c r="AF116" s="48"/>
      <c r="AG116" s="48"/>
      <c r="AH116" s="48"/>
      <c r="AI116" s="48"/>
      <c r="AJ116" s="44"/>
      <c r="AK116" s="44"/>
      <c r="AL116" s="44"/>
    </row>
    <row r="117" spans="1:38" ht="27.6" x14ac:dyDescent="0.25">
      <c r="A117" s="94"/>
      <c r="B117" s="265" t="s">
        <v>1363</v>
      </c>
      <c r="C117" s="266" t="s">
        <v>1364</v>
      </c>
      <c r="D117" s="265" t="s">
        <v>40</v>
      </c>
      <c r="E117" s="265" t="s">
        <v>1365</v>
      </c>
      <c r="F117" s="267" t="s">
        <v>41</v>
      </c>
      <c r="G117" s="277">
        <v>135.65</v>
      </c>
      <c r="H117" s="268">
        <f>I117+K117</f>
        <v>28.74</v>
      </c>
      <c r="I117" s="287">
        <v>13.2</v>
      </c>
      <c r="J117" s="268">
        <f>I117*(1+$M$9)</f>
        <v>16.75</v>
      </c>
      <c r="K117" s="292">
        <v>15.54</v>
      </c>
      <c r="L117" s="268">
        <f>K117*(1+$M$9)</f>
        <v>19.72</v>
      </c>
      <c r="M117" s="268">
        <f>L117+J117</f>
        <v>36.47</v>
      </c>
      <c r="N117" s="268">
        <f>J117*G117</f>
        <v>2272.14</v>
      </c>
      <c r="O117" s="268">
        <f>L117*G117</f>
        <v>2675.02</v>
      </c>
      <c r="P117" s="268">
        <f>O117+N117</f>
        <v>4947.16</v>
      </c>
      <c r="Q117" s="269">
        <f>P117/$O$485</f>
        <v>2E-3</v>
      </c>
      <c r="R117" s="44"/>
      <c r="S117" s="49">
        <f t="shared" si="39"/>
        <v>3898.58</v>
      </c>
      <c r="T117" s="126"/>
      <c r="U117" s="48"/>
      <c r="V117" s="48"/>
      <c r="W117" s="48"/>
      <c r="X117" s="48"/>
      <c r="Y117" s="48"/>
      <c r="Z117" s="48"/>
      <c r="AA117" s="48"/>
      <c r="AB117" s="48"/>
      <c r="AC117" s="48"/>
      <c r="AD117" s="48"/>
      <c r="AE117" s="48"/>
      <c r="AF117" s="48"/>
      <c r="AG117" s="48"/>
      <c r="AH117" s="48"/>
      <c r="AI117" s="48"/>
      <c r="AJ117" s="44"/>
      <c r="AK117" s="44"/>
      <c r="AL117" s="44"/>
    </row>
    <row r="118" spans="1:38" x14ac:dyDescent="0.25">
      <c r="A118" s="94"/>
      <c r="B118" s="261">
        <v>7</v>
      </c>
      <c r="C118" s="261"/>
      <c r="D118" s="261"/>
      <c r="E118" s="261" t="s">
        <v>245</v>
      </c>
      <c r="F118" s="261"/>
      <c r="G118" s="276"/>
      <c r="H118" s="262"/>
      <c r="I118" s="286"/>
      <c r="J118" s="261"/>
      <c r="K118" s="291"/>
      <c r="L118" s="261"/>
      <c r="M118" s="261"/>
      <c r="N118" s="261"/>
      <c r="O118" s="261"/>
      <c r="P118" s="263"/>
      <c r="Q118" s="263"/>
      <c r="R118" s="44"/>
      <c r="S118" s="49">
        <f t="shared" si="39"/>
        <v>0</v>
      </c>
      <c r="T118" s="126"/>
      <c r="U118" s="48"/>
      <c r="V118" s="48"/>
      <c r="W118" s="48"/>
      <c r="X118" s="48"/>
      <c r="Y118" s="48"/>
      <c r="Z118" s="48"/>
      <c r="AA118" s="48"/>
      <c r="AB118" s="48"/>
      <c r="AC118" s="48"/>
      <c r="AD118" s="48"/>
      <c r="AE118" s="48"/>
      <c r="AF118" s="48"/>
      <c r="AG118" s="48"/>
      <c r="AH118" s="48"/>
      <c r="AI118" s="48"/>
      <c r="AJ118" s="44"/>
      <c r="AK118" s="44"/>
      <c r="AL118" s="44"/>
    </row>
    <row r="119" spans="1:38" x14ac:dyDescent="0.25">
      <c r="A119" s="94"/>
      <c r="B119" s="261" t="s">
        <v>158</v>
      </c>
      <c r="C119" s="261"/>
      <c r="D119" s="261"/>
      <c r="E119" s="261" t="s">
        <v>387</v>
      </c>
      <c r="F119" s="261"/>
      <c r="G119" s="276"/>
      <c r="H119" s="262"/>
      <c r="I119" s="286"/>
      <c r="J119" s="261"/>
      <c r="K119" s="291"/>
      <c r="L119" s="261"/>
      <c r="M119" s="261"/>
      <c r="N119" s="261"/>
      <c r="O119" s="261"/>
      <c r="P119" s="263"/>
      <c r="Q119" s="263"/>
      <c r="R119" s="44"/>
      <c r="S119" s="49">
        <f t="shared" si="39"/>
        <v>0</v>
      </c>
      <c r="T119" s="126"/>
      <c r="U119" s="48"/>
      <c r="V119" s="48"/>
      <c r="W119" s="48"/>
      <c r="X119" s="48"/>
      <c r="Y119" s="48"/>
      <c r="Z119" s="48"/>
      <c r="AA119" s="48"/>
      <c r="AB119" s="48"/>
      <c r="AC119" s="48"/>
      <c r="AD119" s="48"/>
      <c r="AE119" s="48"/>
      <c r="AF119" s="48"/>
      <c r="AG119" s="48"/>
      <c r="AH119" s="48"/>
      <c r="AI119" s="48"/>
      <c r="AJ119" s="44"/>
      <c r="AK119" s="44"/>
      <c r="AL119" s="44"/>
    </row>
    <row r="120" spans="1:38" x14ac:dyDescent="0.25">
      <c r="A120" s="94"/>
      <c r="B120" s="261" t="s">
        <v>802</v>
      </c>
      <c r="C120" s="261"/>
      <c r="D120" s="261"/>
      <c r="E120" s="261" t="s">
        <v>534</v>
      </c>
      <c r="F120" s="261"/>
      <c r="G120" s="276"/>
      <c r="H120" s="262"/>
      <c r="I120" s="286"/>
      <c r="J120" s="261"/>
      <c r="K120" s="291"/>
      <c r="L120" s="261"/>
      <c r="M120" s="261"/>
      <c r="N120" s="261"/>
      <c r="O120" s="261"/>
      <c r="P120" s="263"/>
      <c r="Q120" s="263"/>
      <c r="R120" s="44"/>
      <c r="S120" s="49">
        <f t="shared" si="39"/>
        <v>0</v>
      </c>
      <c r="T120" s="126"/>
      <c r="U120" s="48"/>
      <c r="V120" s="48"/>
      <c r="W120" s="48"/>
      <c r="X120" s="48"/>
      <c r="Y120" s="48"/>
      <c r="Z120" s="48"/>
      <c r="AA120" s="48"/>
      <c r="AB120" s="48"/>
      <c r="AC120" s="48"/>
      <c r="AD120" s="48"/>
      <c r="AE120" s="48"/>
      <c r="AF120" s="48"/>
      <c r="AG120" s="48"/>
      <c r="AH120" s="48"/>
      <c r="AI120" s="48"/>
      <c r="AJ120" s="44"/>
      <c r="AK120" s="44"/>
      <c r="AL120" s="44"/>
    </row>
    <row r="121" spans="1:38" ht="41.4" x14ac:dyDescent="0.25">
      <c r="A121" s="94"/>
      <c r="B121" s="265" t="s">
        <v>803</v>
      </c>
      <c r="C121" s="266" t="s">
        <v>1170</v>
      </c>
      <c r="D121" s="265" t="s">
        <v>40</v>
      </c>
      <c r="E121" s="265" t="s">
        <v>1171</v>
      </c>
      <c r="F121" s="267" t="s">
        <v>44</v>
      </c>
      <c r="G121" s="277">
        <v>13</v>
      </c>
      <c r="H121" s="268">
        <f>I121+K121</f>
        <v>1024.21</v>
      </c>
      <c r="I121" s="287">
        <v>200.23</v>
      </c>
      <c r="J121" s="268">
        <f>I121*(1+$M$9)</f>
        <v>254.03</v>
      </c>
      <c r="K121" s="292">
        <v>823.98</v>
      </c>
      <c r="L121" s="268">
        <f>K121*(1+$M$9)</f>
        <v>1045.3800000000001</v>
      </c>
      <c r="M121" s="268">
        <f>L121+J121</f>
        <v>1299.4100000000001</v>
      </c>
      <c r="N121" s="268">
        <f>J121*G121</f>
        <v>3302.39</v>
      </c>
      <c r="O121" s="268">
        <f>L121*G121</f>
        <v>13589.94</v>
      </c>
      <c r="P121" s="268">
        <f>O121+N121</f>
        <v>16892.330000000002</v>
      </c>
      <c r="Q121" s="269">
        <f>P121/$O$485</f>
        <v>6.7000000000000002E-3</v>
      </c>
      <c r="R121" s="44"/>
      <c r="S121" s="49">
        <f t="shared" si="39"/>
        <v>13314.73</v>
      </c>
      <c r="T121" s="126"/>
      <c r="U121" s="48"/>
      <c r="V121" s="48"/>
      <c r="W121" s="48"/>
      <c r="X121" s="48"/>
      <c r="Y121" s="48"/>
      <c r="Z121" s="48"/>
      <c r="AA121" s="48"/>
      <c r="AB121" s="48"/>
      <c r="AC121" s="48"/>
      <c r="AD121" s="48"/>
      <c r="AE121" s="48"/>
      <c r="AF121" s="48"/>
      <c r="AG121" s="48"/>
      <c r="AH121" s="48"/>
      <c r="AI121" s="48"/>
      <c r="AJ121" s="44"/>
      <c r="AK121" s="44"/>
      <c r="AL121" s="44"/>
    </row>
    <row r="122" spans="1:38" ht="41.4" x14ac:dyDescent="0.25">
      <c r="A122" s="94"/>
      <c r="B122" s="265" t="s">
        <v>804</v>
      </c>
      <c r="C122" s="266" t="s">
        <v>1172</v>
      </c>
      <c r="D122" s="265" t="s">
        <v>40</v>
      </c>
      <c r="E122" s="265" t="s">
        <v>1173</v>
      </c>
      <c r="F122" s="267" t="s">
        <v>44</v>
      </c>
      <c r="G122" s="277">
        <v>12</v>
      </c>
      <c r="H122" s="268">
        <f>I122+K122</f>
        <v>965.13</v>
      </c>
      <c r="I122" s="287">
        <v>196.67</v>
      </c>
      <c r="J122" s="268">
        <f>I122*(1+$M$9)</f>
        <v>249.52</v>
      </c>
      <c r="K122" s="292">
        <v>768.46</v>
      </c>
      <c r="L122" s="268">
        <f>K122*(1+$M$9)</f>
        <v>974.95</v>
      </c>
      <c r="M122" s="268">
        <f>L122+J122</f>
        <v>1224.47</v>
      </c>
      <c r="N122" s="268">
        <f>J122*G122</f>
        <v>2994.24</v>
      </c>
      <c r="O122" s="268">
        <f>L122*G122</f>
        <v>11699.4</v>
      </c>
      <c r="P122" s="268">
        <f>O122+N122</f>
        <v>14693.64</v>
      </c>
      <c r="Q122" s="269">
        <f>P122/$O$485</f>
        <v>5.7999999999999996E-3</v>
      </c>
      <c r="R122" s="44"/>
      <c r="S122" s="49">
        <f t="shared" si="39"/>
        <v>11581.56</v>
      </c>
      <c r="T122" s="126"/>
      <c r="U122" s="48"/>
      <c r="V122" s="48"/>
      <c r="W122" s="48"/>
      <c r="X122" s="48"/>
      <c r="Y122" s="48"/>
      <c r="Z122" s="48"/>
      <c r="AA122" s="48"/>
      <c r="AB122" s="48"/>
      <c r="AC122" s="48"/>
      <c r="AD122" s="48"/>
      <c r="AE122" s="48"/>
      <c r="AF122" s="48"/>
      <c r="AG122" s="48"/>
      <c r="AH122" s="48"/>
      <c r="AI122" s="48"/>
      <c r="AJ122" s="44"/>
      <c r="AK122" s="44"/>
      <c r="AL122" s="44"/>
    </row>
    <row r="123" spans="1:38" x14ac:dyDescent="0.25">
      <c r="A123" s="94"/>
      <c r="B123" s="265" t="s">
        <v>805</v>
      </c>
      <c r="C123" s="266" t="s">
        <v>791</v>
      </c>
      <c r="D123" s="265" t="s">
        <v>51</v>
      </c>
      <c r="E123" s="265" t="s">
        <v>792</v>
      </c>
      <c r="F123" s="267" t="s">
        <v>44</v>
      </c>
      <c r="G123" s="277">
        <v>1</v>
      </c>
      <c r="H123" s="268">
        <v>1509.23</v>
      </c>
      <c r="I123" s="287">
        <f>38.55+62.94</f>
        <v>101.49</v>
      </c>
      <c r="J123" s="268">
        <f>I123*(1+$M$9)</f>
        <v>128.76</v>
      </c>
      <c r="K123" s="292">
        <f>H123-I123</f>
        <v>1407.74</v>
      </c>
      <c r="L123" s="268">
        <f>K123*(1+$M$9)</f>
        <v>1786</v>
      </c>
      <c r="M123" s="268">
        <f>L123+J123</f>
        <v>1914.76</v>
      </c>
      <c r="N123" s="268">
        <f>J123*G123</f>
        <v>128.76</v>
      </c>
      <c r="O123" s="268">
        <f>L123*G123</f>
        <v>1786</v>
      </c>
      <c r="P123" s="268">
        <f>O123+N123</f>
        <v>1914.76</v>
      </c>
      <c r="Q123" s="269">
        <f>P123/$O$485</f>
        <v>8.0000000000000004E-4</v>
      </c>
      <c r="R123" s="44"/>
      <c r="S123" s="49">
        <f t="shared" si="39"/>
        <v>1509.23</v>
      </c>
      <c r="T123" s="126"/>
      <c r="U123" s="48"/>
      <c r="V123" s="48"/>
      <c r="W123" s="48"/>
      <c r="X123" s="48"/>
      <c r="Y123" s="48"/>
      <c r="Z123" s="48"/>
      <c r="AA123" s="48"/>
      <c r="AB123" s="48"/>
      <c r="AC123" s="48"/>
      <c r="AD123" s="48"/>
      <c r="AE123" s="48"/>
      <c r="AF123" s="48"/>
      <c r="AG123" s="48"/>
      <c r="AH123" s="48"/>
      <c r="AI123" s="48"/>
      <c r="AJ123" s="44"/>
      <c r="AK123" s="44"/>
      <c r="AL123" s="44"/>
    </row>
    <row r="124" spans="1:38" x14ac:dyDescent="0.25">
      <c r="A124" s="94"/>
      <c r="B124" s="265" t="s">
        <v>806</v>
      </c>
      <c r="C124" s="266" t="s">
        <v>1352</v>
      </c>
      <c r="D124" s="265" t="s">
        <v>199</v>
      </c>
      <c r="E124" s="265" t="s">
        <v>1353</v>
      </c>
      <c r="F124" s="267" t="s">
        <v>41</v>
      </c>
      <c r="G124" s="277">
        <v>17.96</v>
      </c>
      <c r="H124" s="268">
        <v>544.69000000000005</v>
      </c>
      <c r="I124" s="287">
        <v>33.92</v>
      </c>
      <c r="J124" s="268">
        <f>I124*(1+$M$9)</f>
        <v>43.03</v>
      </c>
      <c r="K124" s="292">
        <f>H124-I124</f>
        <v>510.77</v>
      </c>
      <c r="L124" s="268">
        <f>K124*(1+$M$9)</f>
        <v>648.01</v>
      </c>
      <c r="M124" s="268">
        <f>L124+J124</f>
        <v>691.04</v>
      </c>
      <c r="N124" s="268">
        <f>J124*G124</f>
        <v>772.82</v>
      </c>
      <c r="O124" s="268">
        <f>L124*G124</f>
        <v>11638.26</v>
      </c>
      <c r="P124" s="268">
        <f>O124+N124</f>
        <v>12411.08</v>
      </c>
      <c r="Q124" s="269">
        <f>P124/$O$485</f>
        <v>4.8999999999999998E-3</v>
      </c>
      <c r="R124" s="44"/>
      <c r="S124" s="49">
        <f t="shared" si="39"/>
        <v>9782.6299999999992</v>
      </c>
      <c r="T124" s="126"/>
      <c r="U124" s="48"/>
      <c r="V124" s="48"/>
      <c r="W124" s="48"/>
      <c r="X124" s="48"/>
      <c r="Y124" s="48"/>
      <c r="Z124" s="48"/>
      <c r="AA124" s="48"/>
      <c r="AB124" s="48"/>
      <c r="AC124" s="48"/>
      <c r="AD124" s="48"/>
      <c r="AE124" s="48"/>
      <c r="AF124" s="48"/>
      <c r="AG124" s="48"/>
      <c r="AH124" s="48"/>
      <c r="AI124" s="48"/>
      <c r="AJ124" s="44"/>
      <c r="AK124" s="44"/>
      <c r="AL124" s="44"/>
    </row>
    <row r="125" spans="1:38" x14ac:dyDescent="0.25">
      <c r="A125" s="94"/>
      <c r="B125" s="265" t="s">
        <v>1425</v>
      </c>
      <c r="C125" s="266">
        <v>110016</v>
      </c>
      <c r="D125" s="265" t="s">
        <v>51</v>
      </c>
      <c r="E125" s="265" t="s">
        <v>1427</v>
      </c>
      <c r="F125" s="267" t="s">
        <v>44</v>
      </c>
      <c r="G125" s="277">
        <v>2</v>
      </c>
      <c r="H125" s="268">
        <v>1637.28</v>
      </c>
      <c r="I125" s="287">
        <f>48.08+79.71</f>
        <v>127.79</v>
      </c>
      <c r="J125" s="268">
        <f>I125*(1+$M$9)</f>
        <v>162.13</v>
      </c>
      <c r="K125" s="292">
        <f>H125-I125</f>
        <v>1509.49</v>
      </c>
      <c r="L125" s="268">
        <f>K125*(1+$M$9)</f>
        <v>1915.09</v>
      </c>
      <c r="M125" s="268">
        <f>L125+J125</f>
        <v>2077.2199999999998</v>
      </c>
      <c r="N125" s="268">
        <f>J125*G125</f>
        <v>324.26</v>
      </c>
      <c r="O125" s="268">
        <f>L125*G125</f>
        <v>3830.18</v>
      </c>
      <c r="P125" s="268">
        <f>O125+N125</f>
        <v>4154.4399999999996</v>
      </c>
      <c r="Q125" s="269">
        <f>P125/$O$485</f>
        <v>1.6000000000000001E-3</v>
      </c>
      <c r="R125" s="44"/>
      <c r="S125" s="49">
        <f t="shared" si="39"/>
        <v>3274.56</v>
      </c>
      <c r="T125" s="126"/>
      <c r="U125" s="48"/>
      <c r="V125" s="48"/>
      <c r="W125" s="48"/>
      <c r="X125" s="48"/>
      <c r="Y125" s="48"/>
      <c r="Z125" s="48"/>
      <c r="AA125" s="48"/>
      <c r="AB125" s="48"/>
      <c r="AC125" s="48"/>
      <c r="AD125" s="48"/>
      <c r="AE125" s="48"/>
      <c r="AF125" s="48"/>
      <c r="AG125" s="48"/>
      <c r="AH125" s="48"/>
      <c r="AI125" s="48"/>
      <c r="AJ125" s="44"/>
      <c r="AK125" s="44"/>
      <c r="AL125" s="44"/>
    </row>
    <row r="126" spans="1:38" x14ac:dyDescent="0.25">
      <c r="A126" s="94"/>
      <c r="B126" s="261" t="s">
        <v>179</v>
      </c>
      <c r="C126" s="261"/>
      <c r="D126" s="261"/>
      <c r="E126" s="261" t="s">
        <v>535</v>
      </c>
      <c r="F126" s="261"/>
      <c r="G126" s="276"/>
      <c r="H126" s="262"/>
      <c r="I126" s="286"/>
      <c r="J126" s="261"/>
      <c r="K126" s="291"/>
      <c r="L126" s="261"/>
      <c r="M126" s="261"/>
      <c r="N126" s="261"/>
      <c r="O126" s="261"/>
      <c r="P126" s="263"/>
      <c r="Q126" s="263"/>
      <c r="R126" s="44"/>
      <c r="S126" s="49">
        <f t="shared" si="39"/>
        <v>0</v>
      </c>
      <c r="T126" s="126"/>
      <c r="U126" s="48"/>
      <c r="V126" s="48"/>
      <c r="W126" s="48"/>
      <c r="X126" s="48"/>
      <c r="Y126" s="48"/>
      <c r="Z126" s="48"/>
      <c r="AA126" s="48"/>
      <c r="AB126" s="48"/>
      <c r="AC126" s="48"/>
      <c r="AD126" s="48"/>
      <c r="AE126" s="48"/>
      <c r="AF126" s="48"/>
      <c r="AG126" s="48"/>
      <c r="AH126" s="48"/>
      <c r="AI126" s="48"/>
      <c r="AJ126" s="44"/>
      <c r="AK126" s="44"/>
      <c r="AL126" s="44"/>
    </row>
    <row r="127" spans="1:38" x14ac:dyDescent="0.25">
      <c r="A127" s="94"/>
      <c r="B127" s="261" t="s">
        <v>807</v>
      </c>
      <c r="C127" s="261"/>
      <c r="D127" s="261"/>
      <c r="E127" s="261" t="s">
        <v>537</v>
      </c>
      <c r="F127" s="261"/>
      <c r="G127" s="276"/>
      <c r="H127" s="262"/>
      <c r="I127" s="286"/>
      <c r="J127" s="261"/>
      <c r="K127" s="291"/>
      <c r="L127" s="261"/>
      <c r="M127" s="261"/>
      <c r="N127" s="261"/>
      <c r="O127" s="261"/>
      <c r="P127" s="263"/>
      <c r="Q127" s="263"/>
      <c r="R127" s="44"/>
      <c r="S127" s="49">
        <f t="shared" si="39"/>
        <v>0</v>
      </c>
      <c r="T127" s="126"/>
      <c r="U127" s="48"/>
      <c r="V127" s="48"/>
      <c r="W127" s="48"/>
      <c r="X127" s="48"/>
      <c r="Y127" s="48"/>
      <c r="Z127" s="48"/>
      <c r="AA127" s="48"/>
      <c r="AB127" s="48"/>
      <c r="AC127" s="48"/>
      <c r="AD127" s="48"/>
      <c r="AE127" s="48"/>
      <c r="AF127" s="48"/>
      <c r="AG127" s="48"/>
      <c r="AH127" s="48"/>
      <c r="AI127" s="48"/>
      <c r="AJ127" s="44"/>
      <c r="AK127" s="44"/>
      <c r="AL127" s="44"/>
    </row>
    <row r="128" spans="1:38" ht="27.6" x14ac:dyDescent="0.25">
      <c r="A128" s="94"/>
      <c r="B128" s="265" t="s">
        <v>808</v>
      </c>
      <c r="C128" s="266" t="s">
        <v>247</v>
      </c>
      <c r="D128" s="265" t="s">
        <v>40</v>
      </c>
      <c r="E128" s="265" t="s">
        <v>248</v>
      </c>
      <c r="F128" s="267" t="s">
        <v>41</v>
      </c>
      <c r="G128" s="277">
        <v>14.07</v>
      </c>
      <c r="H128" s="268">
        <f>I128+K128</f>
        <v>587.91999999999996</v>
      </c>
      <c r="I128" s="287">
        <v>9.0500000000000007</v>
      </c>
      <c r="J128" s="268">
        <f t="shared" ref="J128:J133" si="47">I128*(1+$M$9)</f>
        <v>11.48</v>
      </c>
      <c r="K128" s="292">
        <v>578.87</v>
      </c>
      <c r="L128" s="268">
        <f t="shared" ref="L128:L133" si="48">K128*(1+$M$9)</f>
        <v>734.41</v>
      </c>
      <c r="M128" s="268">
        <f t="shared" ref="M128:M133" si="49">L128+J128</f>
        <v>745.89</v>
      </c>
      <c r="N128" s="268">
        <f t="shared" ref="N128:N133" si="50">J128*G128</f>
        <v>161.52000000000001</v>
      </c>
      <c r="O128" s="268">
        <f t="shared" ref="O128:O133" si="51">L128*G128</f>
        <v>10333.15</v>
      </c>
      <c r="P128" s="268">
        <f t="shared" ref="P128:P133" si="52">O128+N128</f>
        <v>10494.67</v>
      </c>
      <c r="Q128" s="269">
        <f t="shared" ref="Q128:Q133" si="53">P128/$O$485</f>
        <v>4.1999999999999997E-3</v>
      </c>
      <c r="R128" s="44"/>
      <c r="S128" s="49">
        <f t="shared" si="39"/>
        <v>8272.0300000000007</v>
      </c>
      <c r="T128" s="126"/>
      <c r="U128" s="48"/>
      <c r="V128" s="48"/>
      <c r="W128" s="48"/>
      <c r="X128" s="48"/>
      <c r="Y128" s="48"/>
      <c r="Z128" s="48"/>
      <c r="AA128" s="48"/>
      <c r="AB128" s="48"/>
      <c r="AC128" s="48"/>
      <c r="AD128" s="48"/>
      <c r="AE128" s="48"/>
      <c r="AF128" s="48"/>
      <c r="AG128" s="48"/>
      <c r="AH128" s="48"/>
      <c r="AI128" s="48"/>
      <c r="AJ128" s="44"/>
      <c r="AK128" s="44"/>
      <c r="AL128" s="44"/>
    </row>
    <row r="129" spans="1:38" x14ac:dyDescent="0.25">
      <c r="A129" s="94"/>
      <c r="B129" s="265" t="s">
        <v>809</v>
      </c>
      <c r="C129" s="266" t="s">
        <v>1016</v>
      </c>
      <c r="D129" s="265" t="s">
        <v>199</v>
      </c>
      <c r="E129" s="265" t="s">
        <v>1017</v>
      </c>
      <c r="F129" s="267" t="s">
        <v>41</v>
      </c>
      <c r="G129" s="277">
        <v>6.93</v>
      </c>
      <c r="H129" s="268">
        <v>1097.54</v>
      </c>
      <c r="I129" s="287">
        <f>67.83+55.71</f>
        <v>123.54</v>
      </c>
      <c r="J129" s="268">
        <f t="shared" si="47"/>
        <v>156.74</v>
      </c>
      <c r="K129" s="292">
        <f>H129-I129</f>
        <v>974</v>
      </c>
      <c r="L129" s="268">
        <f t="shared" si="48"/>
        <v>1235.71</v>
      </c>
      <c r="M129" s="268">
        <f t="shared" si="49"/>
        <v>1392.45</v>
      </c>
      <c r="N129" s="268">
        <f t="shared" si="50"/>
        <v>1086.21</v>
      </c>
      <c r="O129" s="268">
        <f t="shared" si="51"/>
        <v>8563.4699999999993</v>
      </c>
      <c r="P129" s="268">
        <f t="shared" si="52"/>
        <v>9649.68</v>
      </c>
      <c r="Q129" s="269">
        <f t="shared" si="53"/>
        <v>3.8E-3</v>
      </c>
      <c r="R129" s="44"/>
      <c r="S129" s="49">
        <f t="shared" si="39"/>
        <v>7605.95</v>
      </c>
      <c r="T129" s="126"/>
      <c r="U129" s="48"/>
      <c r="V129" s="48"/>
      <c r="W129" s="48"/>
      <c r="X129" s="48"/>
      <c r="Y129" s="48"/>
      <c r="Z129" s="48"/>
      <c r="AA129" s="48"/>
      <c r="AB129" s="48"/>
      <c r="AC129" s="48"/>
      <c r="AD129" s="48"/>
      <c r="AE129" s="48"/>
      <c r="AF129" s="48"/>
      <c r="AG129" s="48"/>
      <c r="AH129" s="48"/>
      <c r="AI129" s="48"/>
      <c r="AJ129" s="44"/>
      <c r="AK129" s="44"/>
      <c r="AL129" s="44"/>
    </row>
    <row r="130" spans="1:38" ht="41.4" x14ac:dyDescent="0.25">
      <c r="A130" s="94"/>
      <c r="B130" s="293" t="s">
        <v>810</v>
      </c>
      <c r="C130" s="266" t="s">
        <v>1018</v>
      </c>
      <c r="D130" s="265" t="s">
        <v>551</v>
      </c>
      <c r="E130" s="265" t="s">
        <v>1019</v>
      </c>
      <c r="F130" s="267" t="s">
        <v>41</v>
      </c>
      <c r="G130" s="277">
        <v>17.760000000000002</v>
      </c>
      <c r="H130" s="268">
        <f>I130+K130</f>
        <v>0</v>
      </c>
      <c r="I130" s="287"/>
      <c r="J130" s="268">
        <f t="shared" si="47"/>
        <v>0</v>
      </c>
      <c r="K130" s="292"/>
      <c r="L130" s="268">
        <f t="shared" si="48"/>
        <v>0</v>
      </c>
      <c r="M130" s="268">
        <f t="shared" si="49"/>
        <v>0</v>
      </c>
      <c r="N130" s="268">
        <f t="shared" si="50"/>
        <v>0</v>
      </c>
      <c r="O130" s="268">
        <f t="shared" si="51"/>
        <v>0</v>
      </c>
      <c r="P130" s="268">
        <f t="shared" si="52"/>
        <v>0</v>
      </c>
      <c r="Q130" s="269">
        <f t="shared" si="53"/>
        <v>0</v>
      </c>
      <c r="R130" s="44"/>
      <c r="S130" s="49">
        <f t="shared" si="39"/>
        <v>0</v>
      </c>
      <c r="T130" s="126"/>
      <c r="U130" s="48"/>
      <c r="V130" s="48"/>
      <c r="W130" s="48"/>
      <c r="X130" s="48"/>
      <c r="Y130" s="48"/>
      <c r="Z130" s="48"/>
      <c r="AA130" s="48"/>
      <c r="AB130" s="48"/>
      <c r="AC130" s="48"/>
      <c r="AD130" s="48"/>
      <c r="AE130" s="48"/>
      <c r="AF130" s="48"/>
      <c r="AG130" s="48"/>
      <c r="AH130" s="48"/>
      <c r="AI130" s="48"/>
      <c r="AJ130" s="44"/>
      <c r="AK130" s="44"/>
      <c r="AL130" s="44"/>
    </row>
    <row r="131" spans="1:38" x14ac:dyDescent="0.25">
      <c r="A131" s="94"/>
      <c r="B131" s="265" t="s">
        <v>811</v>
      </c>
      <c r="C131" s="266" t="s">
        <v>1460</v>
      </c>
      <c r="D131" s="265" t="s">
        <v>199</v>
      </c>
      <c r="E131" s="265" t="s">
        <v>1461</v>
      </c>
      <c r="F131" s="267" t="s">
        <v>41</v>
      </c>
      <c r="G131" s="277">
        <v>8.08</v>
      </c>
      <c r="H131" s="268">
        <v>1036.18</v>
      </c>
      <c r="I131" s="287">
        <f>22.61+37.14</f>
        <v>59.75</v>
      </c>
      <c r="J131" s="268">
        <f t="shared" si="47"/>
        <v>75.8</v>
      </c>
      <c r="K131" s="292">
        <f>H131-I131</f>
        <v>976.43</v>
      </c>
      <c r="L131" s="268">
        <f t="shared" si="48"/>
        <v>1238.8</v>
      </c>
      <c r="M131" s="268">
        <f t="shared" si="49"/>
        <v>1314.6</v>
      </c>
      <c r="N131" s="268">
        <f t="shared" si="50"/>
        <v>612.46</v>
      </c>
      <c r="O131" s="268">
        <f t="shared" si="51"/>
        <v>10009.5</v>
      </c>
      <c r="P131" s="268">
        <f t="shared" si="52"/>
        <v>10621.96</v>
      </c>
      <c r="Q131" s="269">
        <f t="shared" si="53"/>
        <v>4.1999999999999997E-3</v>
      </c>
      <c r="R131" s="44"/>
      <c r="S131" s="49">
        <f t="shared" si="39"/>
        <v>8372.33</v>
      </c>
      <c r="T131" s="126"/>
      <c r="U131" s="48"/>
      <c r="V131" s="48"/>
      <c r="W131" s="48"/>
      <c r="X131" s="48"/>
      <c r="Y131" s="48"/>
      <c r="Z131" s="48"/>
      <c r="AA131" s="48"/>
      <c r="AB131" s="48"/>
      <c r="AC131" s="48"/>
      <c r="AD131" s="48"/>
      <c r="AE131" s="48"/>
      <c r="AF131" s="48"/>
      <c r="AG131" s="48"/>
      <c r="AH131" s="48"/>
      <c r="AI131" s="48"/>
      <c r="AJ131" s="44"/>
      <c r="AK131" s="44"/>
      <c r="AL131" s="44"/>
    </row>
    <row r="132" spans="1:38" x14ac:dyDescent="0.25">
      <c r="A132" s="94"/>
      <c r="B132" s="265" t="s">
        <v>1428</v>
      </c>
      <c r="C132" s="266" t="s">
        <v>1429</v>
      </c>
      <c r="D132" s="265" t="s">
        <v>51</v>
      </c>
      <c r="E132" s="265" t="s">
        <v>1430</v>
      </c>
      <c r="F132" s="267" t="s">
        <v>41</v>
      </c>
      <c r="G132" s="277">
        <v>2.52</v>
      </c>
      <c r="H132" s="268">
        <v>1063.5899999999999</v>
      </c>
      <c r="I132" s="287">
        <f>225.79+251.75</f>
        <v>477.54</v>
      </c>
      <c r="J132" s="268">
        <f t="shared" si="47"/>
        <v>605.85</v>
      </c>
      <c r="K132" s="292">
        <f>H132-I132</f>
        <v>586.04999999999995</v>
      </c>
      <c r="L132" s="268">
        <f t="shared" si="48"/>
        <v>743.52</v>
      </c>
      <c r="M132" s="268">
        <f t="shared" si="49"/>
        <v>1349.37</v>
      </c>
      <c r="N132" s="268">
        <f t="shared" si="50"/>
        <v>1526.74</v>
      </c>
      <c r="O132" s="268">
        <f t="shared" si="51"/>
        <v>1873.67</v>
      </c>
      <c r="P132" s="268">
        <f t="shared" si="52"/>
        <v>3400.41</v>
      </c>
      <c r="Q132" s="269">
        <f t="shared" si="53"/>
        <v>1.2999999999999999E-3</v>
      </c>
      <c r="R132" s="44"/>
      <c r="S132" s="49">
        <f t="shared" si="39"/>
        <v>2680.25</v>
      </c>
      <c r="T132" s="126"/>
      <c r="U132" s="48"/>
      <c r="V132" s="48"/>
      <c r="W132" s="48"/>
      <c r="X132" s="48"/>
      <c r="Y132" s="48"/>
      <c r="Z132" s="48"/>
      <c r="AA132" s="48"/>
      <c r="AB132" s="48"/>
      <c r="AC132" s="48"/>
      <c r="AD132" s="48"/>
      <c r="AE132" s="48"/>
      <c r="AF132" s="48"/>
      <c r="AG132" s="48"/>
      <c r="AH132" s="48"/>
      <c r="AI132" s="48"/>
      <c r="AJ132" s="44"/>
      <c r="AK132" s="44"/>
      <c r="AL132" s="44"/>
    </row>
    <row r="133" spans="1:38" ht="27.6" x14ac:dyDescent="0.25">
      <c r="A133" s="94"/>
      <c r="B133" s="265" t="s">
        <v>1462</v>
      </c>
      <c r="C133" s="266" t="s">
        <v>1463</v>
      </c>
      <c r="D133" s="265" t="s">
        <v>146</v>
      </c>
      <c r="E133" s="265" t="s">
        <v>1464</v>
      </c>
      <c r="F133" s="267" t="s">
        <v>41</v>
      </c>
      <c r="G133" s="277">
        <v>9.8000000000000007</v>
      </c>
      <c r="H133" s="268">
        <v>400.76</v>
      </c>
      <c r="I133" s="287">
        <f>3.8+5.85+19.13+20.48</f>
        <v>49.26</v>
      </c>
      <c r="J133" s="268">
        <f t="shared" si="47"/>
        <v>62.5</v>
      </c>
      <c r="K133" s="292">
        <f>H133-I133</f>
        <v>351.5</v>
      </c>
      <c r="L133" s="268">
        <f t="shared" si="48"/>
        <v>445.95</v>
      </c>
      <c r="M133" s="268">
        <f t="shared" si="49"/>
        <v>508.45</v>
      </c>
      <c r="N133" s="268">
        <f t="shared" si="50"/>
        <v>612.5</v>
      </c>
      <c r="O133" s="268">
        <f t="shared" si="51"/>
        <v>4370.3100000000004</v>
      </c>
      <c r="P133" s="268">
        <f t="shared" si="52"/>
        <v>4982.8100000000004</v>
      </c>
      <c r="Q133" s="269">
        <f t="shared" si="53"/>
        <v>2E-3</v>
      </c>
      <c r="R133" s="44"/>
      <c r="S133" s="49">
        <f t="shared" si="39"/>
        <v>3927.45</v>
      </c>
      <c r="T133" s="126"/>
      <c r="U133" s="48"/>
      <c r="V133" s="48"/>
      <c r="W133" s="48"/>
      <c r="X133" s="48"/>
      <c r="Y133" s="48"/>
      <c r="Z133" s="48"/>
      <c r="AA133" s="48"/>
      <c r="AB133" s="48"/>
      <c r="AC133" s="48"/>
      <c r="AD133" s="48"/>
      <c r="AE133" s="48"/>
      <c r="AF133" s="48"/>
      <c r="AG133" s="48"/>
      <c r="AH133" s="48"/>
      <c r="AI133" s="48"/>
      <c r="AJ133" s="44"/>
      <c r="AK133" s="44"/>
      <c r="AL133" s="44"/>
    </row>
    <row r="134" spans="1:38" x14ac:dyDescent="0.25">
      <c r="A134" s="94"/>
      <c r="B134" s="261" t="s">
        <v>812</v>
      </c>
      <c r="C134" s="261"/>
      <c r="D134" s="261"/>
      <c r="E134" s="261" t="s">
        <v>539</v>
      </c>
      <c r="F134" s="261"/>
      <c r="G134" s="276"/>
      <c r="H134" s="262"/>
      <c r="I134" s="286"/>
      <c r="J134" s="261"/>
      <c r="K134" s="291"/>
      <c r="L134" s="261"/>
      <c r="M134" s="261"/>
      <c r="N134" s="261"/>
      <c r="O134" s="261"/>
      <c r="P134" s="263"/>
      <c r="Q134" s="263"/>
      <c r="R134" s="44"/>
      <c r="S134" s="49">
        <f t="shared" si="39"/>
        <v>0</v>
      </c>
      <c r="T134" s="126"/>
      <c r="U134" s="48"/>
      <c r="V134" s="48"/>
      <c r="W134" s="48"/>
      <c r="X134" s="48"/>
      <c r="Y134" s="48"/>
      <c r="Z134" s="48"/>
      <c r="AA134" s="48"/>
      <c r="AB134" s="48"/>
      <c r="AC134" s="48"/>
      <c r="AD134" s="48"/>
      <c r="AE134" s="48"/>
      <c r="AF134" s="48"/>
      <c r="AG134" s="48"/>
      <c r="AH134" s="48"/>
      <c r="AI134" s="48"/>
      <c r="AJ134" s="44"/>
      <c r="AK134" s="44"/>
      <c r="AL134" s="44"/>
    </row>
    <row r="135" spans="1:38" ht="27.6" x14ac:dyDescent="0.25">
      <c r="A135" s="94"/>
      <c r="B135" s="265" t="s">
        <v>813</v>
      </c>
      <c r="C135" s="266" t="s">
        <v>249</v>
      </c>
      <c r="D135" s="265" t="s">
        <v>40</v>
      </c>
      <c r="E135" s="265" t="s">
        <v>250</v>
      </c>
      <c r="F135" s="267" t="s">
        <v>41</v>
      </c>
      <c r="G135" s="277">
        <v>28.52</v>
      </c>
      <c r="H135" s="268">
        <f>I135+K135</f>
        <v>384.6</v>
      </c>
      <c r="I135" s="287">
        <v>25.73</v>
      </c>
      <c r="J135" s="268">
        <f>I135*(1+$M$9)</f>
        <v>32.64</v>
      </c>
      <c r="K135" s="292">
        <v>358.87</v>
      </c>
      <c r="L135" s="268">
        <f>K135*(1+$M$9)</f>
        <v>455.3</v>
      </c>
      <c r="M135" s="268">
        <f>L135+J135</f>
        <v>487.94</v>
      </c>
      <c r="N135" s="268">
        <f>J135*G135</f>
        <v>930.89</v>
      </c>
      <c r="O135" s="268">
        <f>L135*G135</f>
        <v>12985.16</v>
      </c>
      <c r="P135" s="268">
        <f>O135+N135</f>
        <v>13916.05</v>
      </c>
      <c r="Q135" s="269">
        <f>P135/$O$485</f>
        <v>5.4999999999999997E-3</v>
      </c>
      <c r="R135" s="44"/>
      <c r="S135" s="49">
        <f t="shared" si="39"/>
        <v>10968.79</v>
      </c>
      <c r="T135" s="126"/>
      <c r="U135" s="48"/>
      <c r="V135" s="48"/>
      <c r="W135" s="48"/>
      <c r="X135" s="48"/>
      <c r="Y135" s="48"/>
      <c r="Z135" s="48"/>
      <c r="AA135" s="48"/>
      <c r="AB135" s="48"/>
      <c r="AC135" s="48"/>
      <c r="AD135" s="48"/>
      <c r="AE135" s="48"/>
      <c r="AF135" s="48"/>
      <c r="AG135" s="48"/>
      <c r="AH135" s="48"/>
      <c r="AI135" s="48"/>
      <c r="AJ135" s="44"/>
      <c r="AK135" s="44"/>
      <c r="AL135" s="44"/>
    </row>
    <row r="136" spans="1:38" ht="41.4" customHeight="1" x14ac:dyDescent="0.25">
      <c r="A136" s="94"/>
      <c r="B136" s="265" t="s">
        <v>814</v>
      </c>
      <c r="C136" s="266" t="s">
        <v>1366</v>
      </c>
      <c r="D136" s="265" t="s">
        <v>40</v>
      </c>
      <c r="E136" s="265" t="s">
        <v>1367</v>
      </c>
      <c r="F136" s="267" t="s">
        <v>41</v>
      </c>
      <c r="G136" s="277">
        <v>39.93</v>
      </c>
      <c r="H136" s="268">
        <f>I136+K136</f>
        <v>221.3</v>
      </c>
      <c r="I136" s="287">
        <v>7.93</v>
      </c>
      <c r="J136" s="268">
        <f>I136*(1+$M$9)</f>
        <v>10.06</v>
      </c>
      <c r="K136" s="292">
        <v>213.37</v>
      </c>
      <c r="L136" s="268">
        <f>K136*(1+$M$9)</f>
        <v>270.7</v>
      </c>
      <c r="M136" s="268">
        <f>L136+J136</f>
        <v>280.76</v>
      </c>
      <c r="N136" s="268">
        <f>J136*G136</f>
        <v>401.7</v>
      </c>
      <c r="O136" s="268">
        <f>L136*G136</f>
        <v>10809.05</v>
      </c>
      <c r="P136" s="268">
        <f>O136+N136</f>
        <v>11210.75</v>
      </c>
      <c r="Q136" s="269">
        <f>P136/$O$485</f>
        <v>4.4000000000000003E-3</v>
      </c>
      <c r="R136" s="44"/>
      <c r="S136" s="49">
        <f t="shared" si="39"/>
        <v>8836.51</v>
      </c>
      <c r="T136" s="126"/>
      <c r="U136" s="48"/>
      <c r="V136" s="48"/>
      <c r="W136" s="48"/>
      <c r="X136" s="48"/>
      <c r="Y136" s="48"/>
      <c r="Z136" s="48"/>
      <c r="AA136" s="48"/>
      <c r="AB136" s="48"/>
      <c r="AC136" s="48"/>
      <c r="AD136" s="48"/>
      <c r="AE136" s="48"/>
      <c r="AF136" s="48"/>
      <c r="AG136" s="48"/>
      <c r="AH136" s="48"/>
      <c r="AI136" s="48"/>
      <c r="AJ136" s="44"/>
      <c r="AK136" s="44"/>
      <c r="AL136" s="44"/>
    </row>
    <row r="137" spans="1:38" ht="41.4" x14ac:dyDescent="0.25">
      <c r="A137" s="94"/>
      <c r="B137" s="265" t="s">
        <v>815</v>
      </c>
      <c r="C137" s="266" t="s">
        <v>1465</v>
      </c>
      <c r="D137" s="265" t="s">
        <v>40</v>
      </c>
      <c r="E137" s="265" t="s">
        <v>1466</v>
      </c>
      <c r="F137" s="267" t="s">
        <v>41</v>
      </c>
      <c r="G137" s="277">
        <v>4.32</v>
      </c>
      <c r="H137" s="268">
        <f>I137+K137</f>
        <v>200.91</v>
      </c>
      <c r="I137" s="287">
        <v>7.95</v>
      </c>
      <c r="J137" s="268">
        <f>I137*(1+$M$9)</f>
        <v>10.09</v>
      </c>
      <c r="K137" s="292">
        <v>192.96</v>
      </c>
      <c r="L137" s="268">
        <f>K137*(1+$M$9)</f>
        <v>244.81</v>
      </c>
      <c r="M137" s="268">
        <f>L137+J137</f>
        <v>254.9</v>
      </c>
      <c r="N137" s="268">
        <f>J137*G137</f>
        <v>43.59</v>
      </c>
      <c r="O137" s="268">
        <f>L137*G137</f>
        <v>1057.58</v>
      </c>
      <c r="P137" s="268">
        <f>O137+N137</f>
        <v>1101.17</v>
      </c>
      <c r="Q137" s="269">
        <f>P137/$O$485</f>
        <v>4.0000000000000002E-4</v>
      </c>
      <c r="R137" s="44"/>
      <c r="S137" s="49">
        <f t="shared" si="39"/>
        <v>867.93</v>
      </c>
      <c r="T137" s="126"/>
      <c r="U137" s="48"/>
      <c r="V137" s="48"/>
      <c r="W137" s="48"/>
      <c r="X137" s="48"/>
      <c r="Y137" s="48"/>
      <c r="Z137" s="48"/>
      <c r="AA137" s="48"/>
      <c r="AB137" s="48"/>
      <c r="AC137" s="48"/>
      <c r="AD137" s="48"/>
      <c r="AE137" s="48"/>
      <c r="AF137" s="48"/>
      <c r="AG137" s="48"/>
      <c r="AH137" s="48"/>
      <c r="AI137" s="48"/>
      <c r="AJ137" s="44"/>
      <c r="AK137" s="44"/>
      <c r="AL137" s="44"/>
    </row>
    <row r="138" spans="1:38" x14ac:dyDescent="0.25">
      <c r="A138" s="94"/>
      <c r="B138" s="261" t="s">
        <v>195</v>
      </c>
      <c r="C138" s="261"/>
      <c r="D138" s="261"/>
      <c r="E138" s="261" t="s">
        <v>541</v>
      </c>
      <c r="F138" s="261"/>
      <c r="G138" s="276"/>
      <c r="H138" s="262"/>
      <c r="I138" s="286"/>
      <c r="J138" s="261"/>
      <c r="K138" s="291"/>
      <c r="L138" s="261"/>
      <c r="M138" s="261"/>
      <c r="N138" s="261"/>
      <c r="O138" s="261"/>
      <c r="P138" s="263"/>
      <c r="Q138" s="263"/>
      <c r="R138" s="44"/>
      <c r="S138" s="49">
        <f t="shared" si="39"/>
        <v>0</v>
      </c>
      <c r="T138" s="126"/>
      <c r="U138" s="48"/>
      <c r="V138" s="48"/>
      <c r="W138" s="48"/>
      <c r="X138" s="48"/>
      <c r="Y138" s="48"/>
      <c r="Z138" s="48"/>
      <c r="AA138" s="48"/>
      <c r="AB138" s="48"/>
      <c r="AC138" s="48"/>
      <c r="AD138" s="48"/>
      <c r="AE138" s="48"/>
      <c r="AF138" s="48"/>
      <c r="AG138" s="48"/>
      <c r="AH138" s="48"/>
      <c r="AI138" s="48"/>
      <c r="AJ138" s="44"/>
      <c r="AK138" s="44"/>
      <c r="AL138" s="44"/>
    </row>
    <row r="139" spans="1:38" x14ac:dyDescent="0.25">
      <c r="A139" s="94"/>
      <c r="B139" s="261" t="s">
        <v>816</v>
      </c>
      <c r="C139" s="261"/>
      <c r="D139" s="261"/>
      <c r="E139" s="261" t="s">
        <v>542</v>
      </c>
      <c r="F139" s="261"/>
      <c r="G139" s="276"/>
      <c r="H139" s="262"/>
      <c r="I139" s="286"/>
      <c r="J139" s="261"/>
      <c r="K139" s="291"/>
      <c r="L139" s="261"/>
      <c r="M139" s="261"/>
      <c r="N139" s="261"/>
      <c r="O139" s="261"/>
      <c r="P139" s="263"/>
      <c r="Q139" s="263"/>
      <c r="R139" s="44"/>
      <c r="S139" s="49">
        <f t="shared" si="39"/>
        <v>0</v>
      </c>
      <c r="T139" s="126"/>
      <c r="U139" s="48"/>
      <c r="V139" s="48"/>
      <c r="W139" s="48"/>
      <c r="X139" s="48"/>
      <c r="Y139" s="48"/>
      <c r="Z139" s="48"/>
      <c r="AA139" s="48"/>
      <c r="AB139" s="48"/>
      <c r="AC139" s="48"/>
      <c r="AD139" s="48"/>
      <c r="AE139" s="48"/>
      <c r="AF139" s="48"/>
      <c r="AG139" s="48"/>
      <c r="AH139" s="48"/>
      <c r="AI139" s="48"/>
      <c r="AJ139" s="44"/>
      <c r="AK139" s="44"/>
      <c r="AL139" s="44"/>
    </row>
    <row r="140" spans="1:38" ht="41.4" customHeight="1" x14ac:dyDescent="0.25">
      <c r="A140" s="94"/>
      <c r="B140" s="265" t="s">
        <v>817</v>
      </c>
      <c r="C140" s="266" t="s">
        <v>543</v>
      </c>
      <c r="D140" s="265" t="s">
        <v>146</v>
      </c>
      <c r="E140" s="265" t="s">
        <v>1020</v>
      </c>
      <c r="F140" s="267" t="s">
        <v>41</v>
      </c>
      <c r="G140" s="277">
        <v>3.15</v>
      </c>
      <c r="H140" s="268">
        <v>650.09</v>
      </c>
      <c r="I140" s="287">
        <f>9.04+7.41+45.53+25.94</f>
        <v>87.92</v>
      </c>
      <c r="J140" s="268">
        <f>I140*(1+$M$9)</f>
        <v>111.54</v>
      </c>
      <c r="K140" s="292">
        <f>H140-I140</f>
        <v>562.16999999999996</v>
      </c>
      <c r="L140" s="268">
        <f>K140*(1+$M$9)</f>
        <v>713.23</v>
      </c>
      <c r="M140" s="268">
        <f>L140+J140</f>
        <v>824.77</v>
      </c>
      <c r="N140" s="268">
        <f>J140*G140</f>
        <v>351.35</v>
      </c>
      <c r="O140" s="268">
        <f>L140*G140</f>
        <v>2246.67</v>
      </c>
      <c r="P140" s="268">
        <f>O140+N140</f>
        <v>2598.02</v>
      </c>
      <c r="Q140" s="269">
        <f>P140/$O$485</f>
        <v>1E-3</v>
      </c>
      <c r="R140" s="44"/>
      <c r="S140" s="49">
        <f t="shared" si="39"/>
        <v>2047.78</v>
      </c>
      <c r="T140" s="126"/>
      <c r="U140" s="48"/>
      <c r="V140" s="48"/>
      <c r="W140" s="48"/>
      <c r="X140" s="48"/>
      <c r="Y140" s="48"/>
      <c r="Z140" s="48"/>
      <c r="AA140" s="48"/>
      <c r="AB140" s="48"/>
      <c r="AC140" s="48"/>
      <c r="AD140" s="48"/>
      <c r="AE140" s="48"/>
      <c r="AF140" s="48"/>
      <c r="AG140" s="48"/>
      <c r="AH140" s="48"/>
      <c r="AI140" s="48"/>
      <c r="AJ140" s="44"/>
      <c r="AK140" s="44"/>
      <c r="AL140" s="44"/>
    </row>
    <row r="141" spans="1:38" x14ac:dyDescent="0.25">
      <c r="A141" s="94"/>
      <c r="B141" s="261" t="s">
        <v>818</v>
      </c>
      <c r="C141" s="261"/>
      <c r="D141" s="261"/>
      <c r="E141" s="261" t="s">
        <v>544</v>
      </c>
      <c r="F141" s="261"/>
      <c r="G141" s="276"/>
      <c r="H141" s="262"/>
      <c r="I141" s="286"/>
      <c r="J141" s="261"/>
      <c r="K141" s="291"/>
      <c r="L141" s="261"/>
      <c r="M141" s="261"/>
      <c r="N141" s="261"/>
      <c r="O141" s="261"/>
      <c r="P141" s="263"/>
      <c r="Q141" s="263"/>
      <c r="R141" s="44"/>
      <c r="S141" s="49">
        <f t="shared" si="39"/>
        <v>0</v>
      </c>
      <c r="T141" s="126"/>
      <c r="U141" s="48"/>
      <c r="V141" s="48"/>
      <c r="W141" s="48"/>
      <c r="X141" s="48"/>
      <c r="Y141" s="48"/>
      <c r="Z141" s="48"/>
      <c r="AA141" s="48"/>
      <c r="AB141" s="48"/>
      <c r="AC141" s="48"/>
      <c r="AD141" s="48"/>
      <c r="AE141" s="48"/>
      <c r="AF141" s="48"/>
      <c r="AG141" s="48"/>
      <c r="AH141" s="48"/>
      <c r="AI141" s="48"/>
      <c r="AJ141" s="44"/>
      <c r="AK141" s="44"/>
      <c r="AL141" s="44"/>
    </row>
    <row r="142" spans="1:38" x14ac:dyDescent="0.25">
      <c r="A142" s="94"/>
      <c r="B142" s="265" t="s">
        <v>819</v>
      </c>
      <c r="C142" s="266" t="s">
        <v>545</v>
      </c>
      <c r="D142" s="265" t="s">
        <v>199</v>
      </c>
      <c r="E142" s="265" t="s">
        <v>760</v>
      </c>
      <c r="F142" s="267" t="s">
        <v>168</v>
      </c>
      <c r="G142" s="277">
        <v>9</v>
      </c>
      <c r="H142" s="268">
        <v>461.77</v>
      </c>
      <c r="I142" s="287">
        <f>27.86+44.24</f>
        <v>72.099999999999994</v>
      </c>
      <c r="J142" s="268">
        <f t="shared" ref="J142:J148" si="54">I142*(1+$M$9)</f>
        <v>91.47</v>
      </c>
      <c r="K142" s="292">
        <f>H142-I142</f>
        <v>389.67</v>
      </c>
      <c r="L142" s="268">
        <f t="shared" ref="L142:L148" si="55">K142*(1+$M$9)</f>
        <v>494.37</v>
      </c>
      <c r="M142" s="268">
        <f t="shared" ref="M142:M148" si="56">L142+J142</f>
        <v>585.84</v>
      </c>
      <c r="N142" s="268">
        <f t="shared" ref="N142:N148" si="57">J142*G142</f>
        <v>823.23</v>
      </c>
      <c r="O142" s="268">
        <f t="shared" ref="O142:O148" si="58">L142*G142</f>
        <v>4449.33</v>
      </c>
      <c r="P142" s="268">
        <f t="shared" ref="P142:P148" si="59">O142+N142</f>
        <v>5272.56</v>
      </c>
      <c r="Q142" s="269">
        <f t="shared" ref="Q142:Q148" si="60">P142/$O$485</f>
        <v>2.0999999999999999E-3</v>
      </c>
      <c r="R142" s="44"/>
      <c r="S142" s="49">
        <f t="shared" si="39"/>
        <v>4155.93</v>
      </c>
      <c r="T142" s="126"/>
      <c r="U142" s="48"/>
      <c r="V142" s="48"/>
      <c r="W142" s="48"/>
      <c r="X142" s="48"/>
      <c r="Y142" s="48"/>
      <c r="Z142" s="48"/>
      <c r="AA142" s="48"/>
      <c r="AB142" s="48"/>
      <c r="AC142" s="48"/>
      <c r="AD142" s="48"/>
      <c r="AE142" s="48"/>
      <c r="AF142" s="48"/>
      <c r="AG142" s="48"/>
      <c r="AH142" s="48"/>
      <c r="AI142" s="48"/>
      <c r="AJ142" s="44"/>
      <c r="AK142" s="44"/>
      <c r="AL142" s="44"/>
    </row>
    <row r="143" spans="1:38" x14ac:dyDescent="0.25">
      <c r="A143" s="94"/>
      <c r="B143" s="265" t="s">
        <v>820</v>
      </c>
      <c r="C143" s="266" t="s">
        <v>266</v>
      </c>
      <c r="D143" s="265" t="s">
        <v>146</v>
      </c>
      <c r="E143" s="265" t="s">
        <v>267</v>
      </c>
      <c r="F143" s="267" t="s">
        <v>168</v>
      </c>
      <c r="G143" s="277">
        <v>6</v>
      </c>
      <c r="H143" s="268">
        <v>111.78</v>
      </c>
      <c r="I143" s="287">
        <f>1.14+5.74</f>
        <v>6.88</v>
      </c>
      <c r="J143" s="268">
        <f t="shared" si="54"/>
        <v>8.73</v>
      </c>
      <c r="K143" s="292">
        <f>H143-I143</f>
        <v>104.9</v>
      </c>
      <c r="L143" s="268">
        <f t="shared" si="55"/>
        <v>133.09</v>
      </c>
      <c r="M143" s="268">
        <f t="shared" si="56"/>
        <v>141.82</v>
      </c>
      <c r="N143" s="268">
        <f t="shared" si="57"/>
        <v>52.38</v>
      </c>
      <c r="O143" s="268">
        <f t="shared" si="58"/>
        <v>798.54</v>
      </c>
      <c r="P143" s="268">
        <f t="shared" si="59"/>
        <v>850.92</v>
      </c>
      <c r="Q143" s="269">
        <f t="shared" si="60"/>
        <v>2.9999999999999997E-4</v>
      </c>
      <c r="R143" s="44"/>
      <c r="S143" s="49">
        <f t="shared" si="39"/>
        <v>670.68</v>
      </c>
      <c r="T143" s="126"/>
      <c r="U143" s="48"/>
      <c r="V143" s="48"/>
      <c r="W143" s="48"/>
      <c r="X143" s="48"/>
      <c r="Y143" s="48"/>
      <c r="Z143" s="48"/>
      <c r="AA143" s="48"/>
      <c r="AB143" s="48"/>
      <c r="AC143" s="48"/>
      <c r="AD143" s="48"/>
      <c r="AE143" s="48"/>
      <c r="AF143" s="48"/>
      <c r="AG143" s="48"/>
      <c r="AH143" s="48"/>
      <c r="AI143" s="48"/>
      <c r="AJ143" s="44"/>
      <c r="AK143" s="44"/>
      <c r="AL143" s="44"/>
    </row>
    <row r="144" spans="1:38" x14ac:dyDescent="0.25">
      <c r="A144" s="94"/>
      <c r="B144" s="265" t="s">
        <v>821</v>
      </c>
      <c r="C144" s="266" t="s">
        <v>548</v>
      </c>
      <c r="D144" s="265" t="s">
        <v>51</v>
      </c>
      <c r="E144" s="265" t="s">
        <v>549</v>
      </c>
      <c r="F144" s="267" t="s">
        <v>55</v>
      </c>
      <c r="G144" s="277">
        <v>271.54000000000002</v>
      </c>
      <c r="H144" s="268">
        <v>65.47</v>
      </c>
      <c r="I144" s="287">
        <f>22.72+28.85</f>
        <v>51.57</v>
      </c>
      <c r="J144" s="268">
        <f t="shared" si="54"/>
        <v>65.430000000000007</v>
      </c>
      <c r="K144" s="292">
        <f>H144-I144</f>
        <v>13.9</v>
      </c>
      <c r="L144" s="268">
        <f t="shared" si="55"/>
        <v>17.63</v>
      </c>
      <c r="M144" s="268">
        <f t="shared" si="56"/>
        <v>83.06</v>
      </c>
      <c r="N144" s="268">
        <f t="shared" si="57"/>
        <v>17766.86</v>
      </c>
      <c r="O144" s="268">
        <f t="shared" si="58"/>
        <v>4787.25</v>
      </c>
      <c r="P144" s="268">
        <f t="shared" si="59"/>
        <v>22554.11</v>
      </c>
      <c r="Q144" s="269">
        <f t="shared" si="60"/>
        <v>8.8999999999999999E-3</v>
      </c>
      <c r="R144" s="44"/>
      <c r="S144" s="49">
        <f t="shared" si="39"/>
        <v>17777.72</v>
      </c>
      <c r="T144" s="126"/>
      <c r="U144" s="48"/>
      <c r="V144" s="48"/>
      <c r="W144" s="48"/>
      <c r="X144" s="48"/>
      <c r="Y144" s="48"/>
      <c r="Z144" s="48"/>
      <c r="AA144" s="48"/>
      <c r="AB144" s="48"/>
      <c r="AC144" s="48"/>
      <c r="AD144" s="48"/>
      <c r="AE144" s="48"/>
      <c r="AF144" s="48"/>
      <c r="AG144" s="48"/>
      <c r="AH144" s="48"/>
      <c r="AI144" s="48"/>
      <c r="AJ144" s="44"/>
      <c r="AK144" s="44"/>
      <c r="AL144" s="44"/>
    </row>
    <row r="145" spans="1:38" x14ac:dyDescent="0.25">
      <c r="A145" s="94"/>
      <c r="B145" s="265" t="s">
        <v>822</v>
      </c>
      <c r="C145" s="266" t="s">
        <v>826</v>
      </c>
      <c r="D145" s="265" t="s">
        <v>51</v>
      </c>
      <c r="E145" s="265" t="s">
        <v>827</v>
      </c>
      <c r="F145" s="267" t="s">
        <v>44</v>
      </c>
      <c r="G145" s="277">
        <v>4</v>
      </c>
      <c r="H145" s="268">
        <v>1762.24</v>
      </c>
      <c r="I145" s="287">
        <f>10.69+13.57</f>
        <v>24.26</v>
      </c>
      <c r="J145" s="268">
        <f t="shared" si="54"/>
        <v>30.78</v>
      </c>
      <c r="K145" s="292">
        <f>H145-I145</f>
        <v>1737.98</v>
      </c>
      <c r="L145" s="268">
        <f t="shared" si="55"/>
        <v>2204.98</v>
      </c>
      <c r="M145" s="268">
        <f t="shared" si="56"/>
        <v>2235.7600000000002</v>
      </c>
      <c r="N145" s="268">
        <f t="shared" si="57"/>
        <v>123.12</v>
      </c>
      <c r="O145" s="268">
        <f t="shared" si="58"/>
        <v>8819.92</v>
      </c>
      <c r="P145" s="268">
        <f t="shared" si="59"/>
        <v>8943.0400000000009</v>
      </c>
      <c r="Q145" s="269">
        <f t="shared" si="60"/>
        <v>3.5000000000000001E-3</v>
      </c>
      <c r="R145" s="44"/>
      <c r="S145" s="49">
        <f t="shared" si="39"/>
        <v>7048.96</v>
      </c>
      <c r="T145" s="126"/>
      <c r="U145" s="48"/>
      <c r="V145" s="48"/>
      <c r="W145" s="48"/>
      <c r="X145" s="48"/>
      <c r="Y145" s="48"/>
      <c r="Z145" s="48"/>
      <c r="AA145" s="48"/>
      <c r="AB145" s="48"/>
      <c r="AC145" s="48"/>
      <c r="AD145" s="48"/>
      <c r="AE145" s="48"/>
      <c r="AF145" s="48"/>
      <c r="AG145" s="48"/>
      <c r="AH145" s="48"/>
      <c r="AI145" s="48"/>
      <c r="AJ145" s="44"/>
      <c r="AK145" s="44"/>
      <c r="AL145" s="44"/>
    </row>
    <row r="146" spans="1:38" x14ac:dyDescent="0.25">
      <c r="A146" s="94"/>
      <c r="B146" s="265" t="s">
        <v>823</v>
      </c>
      <c r="C146" s="266" t="s">
        <v>828</v>
      </c>
      <c r="D146" s="265" t="s">
        <v>199</v>
      </c>
      <c r="E146" s="265" t="s">
        <v>829</v>
      </c>
      <c r="F146" s="267" t="s">
        <v>168</v>
      </c>
      <c r="G146" s="277">
        <v>26</v>
      </c>
      <c r="H146" s="268">
        <f>I146+K146</f>
        <v>0</v>
      </c>
      <c r="I146" s="287"/>
      <c r="J146" s="268">
        <f t="shared" si="54"/>
        <v>0</v>
      </c>
      <c r="K146" s="292"/>
      <c r="L146" s="268">
        <f t="shared" si="55"/>
        <v>0</v>
      </c>
      <c r="M146" s="268">
        <f t="shared" si="56"/>
        <v>0</v>
      </c>
      <c r="N146" s="268">
        <f t="shared" si="57"/>
        <v>0</v>
      </c>
      <c r="O146" s="268">
        <f t="shared" si="58"/>
        <v>0</v>
      </c>
      <c r="P146" s="268">
        <f t="shared" si="59"/>
        <v>0</v>
      </c>
      <c r="Q146" s="269">
        <f t="shared" si="60"/>
        <v>0</v>
      </c>
      <c r="R146" s="44"/>
      <c r="S146" s="49">
        <f t="shared" si="39"/>
        <v>0</v>
      </c>
      <c r="T146" s="126"/>
      <c r="U146" s="48"/>
      <c r="V146" s="48"/>
      <c r="W146" s="48"/>
      <c r="X146" s="48"/>
      <c r="Y146" s="48"/>
      <c r="Z146" s="48"/>
      <c r="AA146" s="48"/>
      <c r="AB146" s="48"/>
      <c r="AC146" s="48"/>
      <c r="AD146" s="48"/>
      <c r="AE146" s="48"/>
      <c r="AF146" s="48"/>
      <c r="AG146" s="48"/>
      <c r="AH146" s="48"/>
      <c r="AI146" s="48"/>
      <c r="AJ146" s="44"/>
      <c r="AK146" s="44"/>
      <c r="AL146" s="44"/>
    </row>
    <row r="147" spans="1:38" ht="27.6" x14ac:dyDescent="0.25">
      <c r="A147" s="94"/>
      <c r="B147" s="265" t="s">
        <v>824</v>
      </c>
      <c r="C147" s="266" t="s">
        <v>546</v>
      </c>
      <c r="D147" s="265" t="s">
        <v>40</v>
      </c>
      <c r="E147" s="265" t="s">
        <v>547</v>
      </c>
      <c r="F147" s="267" t="s">
        <v>44</v>
      </c>
      <c r="G147" s="277">
        <v>46</v>
      </c>
      <c r="H147" s="268">
        <f>I147+K147</f>
        <v>49.95</v>
      </c>
      <c r="I147" s="287">
        <v>22.43</v>
      </c>
      <c r="J147" s="268">
        <f t="shared" si="54"/>
        <v>28.46</v>
      </c>
      <c r="K147" s="292">
        <v>27.52</v>
      </c>
      <c r="L147" s="268">
        <f t="shared" si="55"/>
        <v>34.909999999999997</v>
      </c>
      <c r="M147" s="268">
        <f t="shared" si="56"/>
        <v>63.37</v>
      </c>
      <c r="N147" s="268">
        <f t="shared" si="57"/>
        <v>1309.1600000000001</v>
      </c>
      <c r="O147" s="268">
        <f t="shared" si="58"/>
        <v>1605.86</v>
      </c>
      <c r="P147" s="268">
        <f t="shared" si="59"/>
        <v>2915.02</v>
      </c>
      <c r="Q147" s="269">
        <f t="shared" si="60"/>
        <v>1.1999999999999999E-3</v>
      </c>
      <c r="R147" s="44"/>
      <c r="S147" s="49">
        <f t="shared" si="39"/>
        <v>2297.6999999999998</v>
      </c>
      <c r="T147" s="126"/>
      <c r="U147" s="48"/>
      <c r="V147" s="48"/>
      <c r="W147" s="48"/>
      <c r="X147" s="48"/>
      <c r="Y147" s="48"/>
      <c r="Z147" s="48"/>
      <c r="AA147" s="48"/>
      <c r="AB147" s="48"/>
      <c r="AC147" s="48"/>
      <c r="AD147" s="48"/>
      <c r="AE147" s="48"/>
      <c r="AF147" s="48"/>
      <c r="AG147" s="48"/>
      <c r="AH147" s="48"/>
      <c r="AI147" s="48"/>
      <c r="AJ147" s="44"/>
      <c r="AK147" s="44"/>
      <c r="AL147" s="44"/>
    </row>
    <row r="148" spans="1:38" x14ac:dyDescent="0.25">
      <c r="A148" s="94"/>
      <c r="B148" s="265" t="s">
        <v>825</v>
      </c>
      <c r="C148" s="266" t="s">
        <v>830</v>
      </c>
      <c r="D148" s="265" t="s">
        <v>51</v>
      </c>
      <c r="E148" s="265" t="s">
        <v>831</v>
      </c>
      <c r="F148" s="267" t="s">
        <v>41</v>
      </c>
      <c r="G148" s="277">
        <v>0.45</v>
      </c>
      <c r="H148" s="268">
        <v>618.96</v>
      </c>
      <c r="I148" s="287">
        <f>42.73+64.44+35.61+28.04</f>
        <v>170.82</v>
      </c>
      <c r="J148" s="268">
        <f t="shared" si="54"/>
        <v>216.72</v>
      </c>
      <c r="K148" s="292">
        <f>H148-I148</f>
        <v>448.14</v>
      </c>
      <c r="L148" s="268">
        <f t="shared" si="55"/>
        <v>568.55999999999995</v>
      </c>
      <c r="M148" s="268">
        <f t="shared" si="56"/>
        <v>785.28</v>
      </c>
      <c r="N148" s="268">
        <f t="shared" si="57"/>
        <v>97.52</v>
      </c>
      <c r="O148" s="268">
        <f t="shared" si="58"/>
        <v>255.85</v>
      </c>
      <c r="P148" s="268">
        <f t="shared" si="59"/>
        <v>353.37</v>
      </c>
      <c r="Q148" s="269">
        <f t="shared" si="60"/>
        <v>1E-4</v>
      </c>
      <c r="R148" s="44"/>
      <c r="S148" s="49">
        <f t="shared" si="39"/>
        <v>278.52999999999997</v>
      </c>
      <c r="T148" s="126"/>
      <c r="U148" s="48"/>
      <c r="V148" s="48"/>
      <c r="W148" s="48"/>
      <c r="X148" s="48"/>
      <c r="Y148" s="48"/>
      <c r="Z148" s="48"/>
      <c r="AA148" s="48"/>
      <c r="AB148" s="48"/>
      <c r="AC148" s="48"/>
      <c r="AD148" s="48"/>
      <c r="AE148" s="48"/>
      <c r="AF148" s="48"/>
      <c r="AG148" s="48"/>
      <c r="AH148" s="48"/>
      <c r="AI148" s="48"/>
      <c r="AJ148" s="44"/>
      <c r="AK148" s="44"/>
      <c r="AL148" s="44"/>
    </row>
    <row r="149" spans="1:38" x14ac:dyDescent="0.25">
      <c r="A149" s="94"/>
      <c r="B149" s="261">
        <v>8</v>
      </c>
      <c r="C149" s="261"/>
      <c r="D149" s="261"/>
      <c r="E149" s="261" t="s">
        <v>556</v>
      </c>
      <c r="F149" s="261"/>
      <c r="G149" s="276"/>
      <c r="H149" s="262"/>
      <c r="I149" s="286"/>
      <c r="J149" s="261"/>
      <c r="K149" s="291"/>
      <c r="L149" s="261"/>
      <c r="M149" s="261"/>
      <c r="N149" s="261"/>
      <c r="O149" s="261"/>
      <c r="P149" s="263"/>
      <c r="Q149" s="263"/>
      <c r="R149" s="44"/>
      <c r="S149" s="49">
        <f t="shared" ref="S149:S212" si="61">G149*H149</f>
        <v>0</v>
      </c>
      <c r="T149" s="126"/>
      <c r="U149" s="48"/>
      <c r="V149" s="48"/>
      <c r="W149" s="48"/>
      <c r="X149" s="48"/>
      <c r="Y149" s="48"/>
      <c r="Z149" s="48"/>
      <c r="AA149" s="48"/>
      <c r="AB149" s="48"/>
      <c r="AC149" s="48"/>
      <c r="AD149" s="48"/>
      <c r="AE149" s="48"/>
      <c r="AF149" s="48"/>
      <c r="AG149" s="48"/>
      <c r="AH149" s="48"/>
      <c r="AI149" s="48"/>
      <c r="AJ149" s="44"/>
      <c r="AK149" s="44"/>
      <c r="AL149" s="44"/>
    </row>
    <row r="150" spans="1:38" x14ac:dyDescent="0.25">
      <c r="A150" s="94"/>
      <c r="B150" s="261" t="s">
        <v>205</v>
      </c>
      <c r="C150" s="261"/>
      <c r="D150" s="261"/>
      <c r="E150" s="261" t="s">
        <v>139</v>
      </c>
      <c r="F150" s="261"/>
      <c r="G150" s="276"/>
      <c r="H150" s="262"/>
      <c r="I150" s="286"/>
      <c r="J150" s="261"/>
      <c r="K150" s="291"/>
      <c r="L150" s="261"/>
      <c r="M150" s="261"/>
      <c r="N150" s="261"/>
      <c r="O150" s="261"/>
      <c r="P150" s="263"/>
      <c r="Q150" s="263"/>
      <c r="R150" s="44"/>
      <c r="S150" s="49">
        <f t="shared" si="61"/>
        <v>0</v>
      </c>
      <c r="T150" s="126"/>
      <c r="U150" s="48"/>
      <c r="V150" s="48"/>
      <c r="W150" s="48"/>
      <c r="X150" s="48"/>
      <c r="Y150" s="48"/>
      <c r="Z150" s="48"/>
      <c r="AA150" s="48"/>
      <c r="AB150" s="48"/>
      <c r="AC150" s="48"/>
      <c r="AD150" s="48"/>
      <c r="AE150" s="48"/>
      <c r="AF150" s="48"/>
      <c r="AG150" s="48"/>
      <c r="AH150" s="48"/>
      <c r="AI150" s="48"/>
      <c r="AJ150" s="44"/>
      <c r="AK150" s="44"/>
      <c r="AL150" s="44"/>
    </row>
    <row r="151" spans="1:38" ht="41.4" x14ac:dyDescent="0.25">
      <c r="A151" s="94"/>
      <c r="B151" s="265" t="s">
        <v>557</v>
      </c>
      <c r="C151" s="266" t="s">
        <v>141</v>
      </c>
      <c r="D151" s="265" t="s">
        <v>40</v>
      </c>
      <c r="E151" s="265" t="s">
        <v>142</v>
      </c>
      <c r="F151" s="267" t="s">
        <v>41</v>
      </c>
      <c r="G151" s="277">
        <v>2042.32</v>
      </c>
      <c r="H151" s="268">
        <f>I151+K151</f>
        <v>7.03</v>
      </c>
      <c r="I151" s="287">
        <v>4.3</v>
      </c>
      <c r="J151" s="268">
        <f>I151*(1+$M$9)</f>
        <v>5.46</v>
      </c>
      <c r="K151" s="292">
        <v>2.73</v>
      </c>
      <c r="L151" s="268">
        <f>K151*(1+$M$9)</f>
        <v>3.46</v>
      </c>
      <c r="M151" s="268">
        <f>L151+J151</f>
        <v>8.92</v>
      </c>
      <c r="N151" s="268">
        <f>J151*G151</f>
        <v>11151.07</v>
      </c>
      <c r="O151" s="268">
        <f>L151*G151</f>
        <v>7066.43</v>
      </c>
      <c r="P151" s="268">
        <f>O151+N151</f>
        <v>18217.5</v>
      </c>
      <c r="Q151" s="269">
        <f>P151/$O$485</f>
        <v>7.1999999999999998E-3</v>
      </c>
      <c r="R151" s="44"/>
      <c r="S151" s="49">
        <f t="shared" si="61"/>
        <v>14357.51</v>
      </c>
      <c r="T151" s="126"/>
      <c r="U151" s="48"/>
      <c r="V151" s="48"/>
      <c r="W151" s="48"/>
      <c r="X151" s="48"/>
      <c r="Y151" s="48"/>
      <c r="Z151" s="48"/>
      <c r="AA151" s="48"/>
      <c r="AB151" s="48"/>
      <c r="AC151" s="48"/>
      <c r="AD151" s="48"/>
      <c r="AE151" s="48"/>
      <c r="AF151" s="48"/>
      <c r="AG151" s="48"/>
      <c r="AH151" s="48"/>
      <c r="AI151" s="48"/>
      <c r="AJ151" s="44"/>
      <c r="AK151" s="44"/>
      <c r="AL151" s="44"/>
    </row>
    <row r="152" spans="1:38" ht="27.6" x14ac:dyDescent="0.25">
      <c r="A152" s="94"/>
      <c r="B152" s="265" t="s">
        <v>558</v>
      </c>
      <c r="C152" s="266">
        <v>104958</v>
      </c>
      <c r="D152" s="265" t="s">
        <v>40</v>
      </c>
      <c r="E152" s="265" t="s">
        <v>1185</v>
      </c>
      <c r="F152" s="267" t="s">
        <v>41</v>
      </c>
      <c r="G152" s="277">
        <v>1957.38</v>
      </c>
      <c r="H152" s="268">
        <f>I152+K152</f>
        <v>22.27</v>
      </c>
      <c r="I152" s="287">
        <v>9.06</v>
      </c>
      <c r="J152" s="268">
        <f>I152*(1+$M$9)</f>
        <v>11.49</v>
      </c>
      <c r="K152" s="292">
        <f>0.02+13.17+0.02</f>
        <v>13.21</v>
      </c>
      <c r="L152" s="268">
        <f>K152*(1+$M$9)</f>
        <v>16.760000000000002</v>
      </c>
      <c r="M152" s="268">
        <f>L152+J152</f>
        <v>28.25</v>
      </c>
      <c r="N152" s="268">
        <f>J152*G152</f>
        <v>22490.3</v>
      </c>
      <c r="O152" s="268">
        <f>L152*G152</f>
        <v>32805.69</v>
      </c>
      <c r="P152" s="268">
        <f>O152+N152</f>
        <v>55295.99</v>
      </c>
      <c r="Q152" s="269">
        <f>P152/$O$485</f>
        <v>2.1899999999999999E-2</v>
      </c>
      <c r="R152" s="44"/>
      <c r="S152" s="49">
        <f t="shared" si="61"/>
        <v>43590.85</v>
      </c>
      <c r="T152" s="126"/>
      <c r="U152" s="48"/>
      <c r="V152" s="48"/>
      <c r="W152" s="48"/>
      <c r="X152" s="48"/>
      <c r="Y152" s="48"/>
      <c r="Z152" s="48"/>
      <c r="AA152" s="48"/>
      <c r="AB152" s="48"/>
      <c r="AC152" s="48"/>
      <c r="AD152" s="48"/>
      <c r="AE152" s="48"/>
      <c r="AF152" s="48"/>
      <c r="AG152" s="48"/>
      <c r="AH152" s="48"/>
      <c r="AI152" s="48"/>
      <c r="AJ152" s="44"/>
      <c r="AK152" s="44"/>
      <c r="AL152" s="44"/>
    </row>
    <row r="153" spans="1:38" ht="27.6" x14ac:dyDescent="0.25">
      <c r="A153" s="94"/>
      <c r="B153" s="265" t="s">
        <v>559</v>
      </c>
      <c r="C153" s="266" t="s">
        <v>1186</v>
      </c>
      <c r="D153" s="265" t="s">
        <v>40</v>
      </c>
      <c r="E153" s="265" t="s">
        <v>1187</v>
      </c>
      <c r="F153" s="267" t="s">
        <v>41</v>
      </c>
      <c r="G153" s="277">
        <v>84.9</v>
      </c>
      <c r="H153" s="268">
        <f>I153+K153</f>
        <v>21.72</v>
      </c>
      <c r="I153" s="287">
        <v>8.6300000000000008</v>
      </c>
      <c r="J153" s="268">
        <f>I153*(1+$M$9)</f>
        <v>10.95</v>
      </c>
      <c r="K153" s="292">
        <f>0.02+13.05+0.02</f>
        <v>13.09</v>
      </c>
      <c r="L153" s="268">
        <f>K153*(1+$M$9)</f>
        <v>16.61</v>
      </c>
      <c r="M153" s="268">
        <f>L153+J153</f>
        <v>27.56</v>
      </c>
      <c r="N153" s="268">
        <f>J153*G153</f>
        <v>929.66</v>
      </c>
      <c r="O153" s="268">
        <f>L153*G153</f>
        <v>1410.19</v>
      </c>
      <c r="P153" s="268">
        <f>O153+N153</f>
        <v>2339.85</v>
      </c>
      <c r="Q153" s="269">
        <f>P153/$O$485</f>
        <v>8.9999999999999998E-4</v>
      </c>
      <c r="R153" s="44"/>
      <c r="S153" s="49">
        <f t="shared" si="61"/>
        <v>1844.03</v>
      </c>
      <c r="T153" s="126"/>
      <c r="U153" s="48"/>
      <c r="V153" s="48"/>
      <c r="W153" s="48"/>
      <c r="X153" s="48"/>
      <c r="Y153" s="48"/>
      <c r="Z153" s="48"/>
      <c r="AA153" s="48"/>
      <c r="AB153" s="48"/>
      <c r="AC153" s="48"/>
      <c r="AD153" s="48"/>
      <c r="AE153" s="48"/>
      <c r="AF153" s="48"/>
      <c r="AG153" s="48"/>
      <c r="AH153" s="48"/>
      <c r="AI153" s="48"/>
      <c r="AJ153" s="44"/>
      <c r="AK153" s="44"/>
      <c r="AL153" s="44"/>
    </row>
    <row r="154" spans="1:38" x14ac:dyDescent="0.25">
      <c r="A154" s="94"/>
      <c r="B154" s="261" t="s">
        <v>206</v>
      </c>
      <c r="C154" s="261"/>
      <c r="D154" s="261"/>
      <c r="E154" s="261" t="s">
        <v>560</v>
      </c>
      <c r="F154" s="261"/>
      <c r="G154" s="276"/>
      <c r="H154" s="262"/>
      <c r="I154" s="286"/>
      <c r="J154" s="261"/>
      <c r="K154" s="291"/>
      <c r="L154" s="261"/>
      <c r="M154" s="261"/>
      <c r="N154" s="261"/>
      <c r="O154" s="261"/>
      <c r="P154" s="263"/>
      <c r="Q154" s="263"/>
      <c r="R154" s="44"/>
      <c r="S154" s="49">
        <f t="shared" si="61"/>
        <v>0</v>
      </c>
      <c r="T154" s="126"/>
      <c r="U154" s="48"/>
      <c r="V154" s="48"/>
      <c r="W154" s="48"/>
      <c r="X154" s="48"/>
      <c r="Y154" s="48"/>
      <c r="Z154" s="48"/>
      <c r="AA154" s="48"/>
      <c r="AB154" s="48"/>
      <c r="AC154" s="48"/>
      <c r="AD154" s="48"/>
      <c r="AE154" s="48"/>
      <c r="AF154" s="48"/>
      <c r="AG154" s="48"/>
      <c r="AH154" s="48"/>
      <c r="AI154" s="48"/>
      <c r="AJ154" s="44"/>
      <c r="AK154" s="44"/>
      <c r="AL154" s="44"/>
    </row>
    <row r="155" spans="1:38" ht="27.6" x14ac:dyDescent="0.25">
      <c r="A155" s="94"/>
      <c r="B155" s="265" t="s">
        <v>561</v>
      </c>
      <c r="C155" s="266">
        <v>104611</v>
      </c>
      <c r="D155" s="265" t="s">
        <v>40</v>
      </c>
      <c r="E155" s="265" t="s">
        <v>1021</v>
      </c>
      <c r="F155" s="267" t="s">
        <v>41</v>
      </c>
      <c r="G155" s="277">
        <v>211.41</v>
      </c>
      <c r="H155" s="268">
        <f>I155+K155</f>
        <v>90.52</v>
      </c>
      <c r="I155" s="287">
        <v>18.149999999999999</v>
      </c>
      <c r="J155" s="268">
        <f>I155*(1+$M$9)</f>
        <v>23.03</v>
      </c>
      <c r="K155" s="292">
        <v>72.37</v>
      </c>
      <c r="L155" s="268">
        <f>K155*(1+$M$9)</f>
        <v>91.82</v>
      </c>
      <c r="M155" s="268">
        <f>L155+J155</f>
        <v>114.85</v>
      </c>
      <c r="N155" s="268">
        <f>J155*G155</f>
        <v>4868.7700000000004</v>
      </c>
      <c r="O155" s="268">
        <f>L155*G155</f>
        <v>19411.669999999998</v>
      </c>
      <c r="P155" s="268">
        <f>O155+N155</f>
        <v>24280.44</v>
      </c>
      <c r="Q155" s="269">
        <f>P155/$O$485</f>
        <v>9.5999999999999992E-3</v>
      </c>
      <c r="R155" s="44"/>
      <c r="S155" s="49">
        <f t="shared" si="61"/>
        <v>19136.830000000002</v>
      </c>
      <c r="T155" s="126"/>
      <c r="U155" s="48"/>
      <c r="V155" s="48"/>
      <c r="W155" s="48"/>
      <c r="X155" s="48"/>
      <c r="Y155" s="48"/>
      <c r="Z155" s="48"/>
      <c r="AA155" s="48"/>
      <c r="AB155" s="48"/>
      <c r="AC155" s="48"/>
      <c r="AD155" s="48"/>
      <c r="AE155" s="48"/>
      <c r="AF155" s="48"/>
      <c r="AG155" s="48"/>
      <c r="AH155" s="48"/>
      <c r="AI155" s="48"/>
      <c r="AJ155" s="44"/>
      <c r="AK155" s="44"/>
      <c r="AL155" s="44"/>
    </row>
    <row r="156" spans="1:38" x14ac:dyDescent="0.25">
      <c r="A156" s="94"/>
      <c r="B156" s="261">
        <v>9</v>
      </c>
      <c r="C156" s="261"/>
      <c r="D156" s="261"/>
      <c r="E156" s="261" t="s">
        <v>562</v>
      </c>
      <c r="F156" s="261"/>
      <c r="G156" s="276"/>
      <c r="H156" s="262"/>
      <c r="I156" s="286"/>
      <c r="J156" s="261"/>
      <c r="K156" s="291"/>
      <c r="L156" s="261"/>
      <c r="M156" s="261"/>
      <c r="N156" s="261"/>
      <c r="O156" s="261"/>
      <c r="P156" s="263"/>
      <c r="Q156" s="263"/>
      <c r="R156" s="44"/>
      <c r="S156" s="49">
        <f t="shared" si="61"/>
        <v>0</v>
      </c>
      <c r="T156" s="126"/>
      <c r="U156" s="48"/>
      <c r="V156" s="48"/>
      <c r="W156" s="48"/>
      <c r="X156" s="48"/>
      <c r="Y156" s="48"/>
      <c r="Z156" s="48"/>
      <c r="AA156" s="48"/>
      <c r="AB156" s="48"/>
      <c r="AC156" s="48"/>
      <c r="AD156" s="48"/>
      <c r="AE156" s="48"/>
      <c r="AF156" s="48"/>
      <c r="AG156" s="48"/>
      <c r="AH156" s="48"/>
      <c r="AI156" s="48"/>
      <c r="AJ156" s="44"/>
      <c r="AK156" s="44"/>
      <c r="AL156" s="44"/>
    </row>
    <row r="157" spans="1:38" x14ac:dyDescent="0.25">
      <c r="A157" s="94"/>
      <c r="B157" s="261" t="s">
        <v>230</v>
      </c>
      <c r="C157" s="261"/>
      <c r="D157" s="261"/>
      <c r="E157" s="261" t="s">
        <v>139</v>
      </c>
      <c r="F157" s="261"/>
      <c r="G157" s="276"/>
      <c r="H157" s="262"/>
      <c r="I157" s="286"/>
      <c r="J157" s="261"/>
      <c r="K157" s="291"/>
      <c r="L157" s="261"/>
      <c r="M157" s="261"/>
      <c r="N157" s="261"/>
      <c r="O157" s="261"/>
      <c r="P157" s="263"/>
      <c r="Q157" s="263"/>
      <c r="R157" s="44"/>
      <c r="S157" s="49">
        <f t="shared" si="61"/>
        <v>0</v>
      </c>
      <c r="T157" s="126"/>
      <c r="U157" s="48"/>
      <c r="V157" s="48"/>
      <c r="W157" s="48"/>
      <c r="X157" s="48"/>
      <c r="Y157" s="48"/>
      <c r="Z157" s="48"/>
      <c r="AA157" s="48"/>
      <c r="AB157" s="48"/>
      <c r="AC157" s="48"/>
      <c r="AD157" s="48"/>
      <c r="AE157" s="48"/>
      <c r="AF157" s="48"/>
      <c r="AG157" s="48"/>
      <c r="AH157" s="48"/>
      <c r="AI157" s="48"/>
      <c r="AJ157" s="44"/>
      <c r="AK157" s="44"/>
      <c r="AL157" s="44"/>
    </row>
    <row r="158" spans="1:38" ht="27.6" x14ac:dyDescent="0.25">
      <c r="A158" s="94"/>
      <c r="B158" s="265" t="s">
        <v>563</v>
      </c>
      <c r="C158" s="266" t="s">
        <v>564</v>
      </c>
      <c r="D158" s="265" t="s">
        <v>40</v>
      </c>
      <c r="E158" s="265" t="s">
        <v>565</v>
      </c>
      <c r="F158" s="267" t="s">
        <v>41</v>
      </c>
      <c r="G158" s="277">
        <v>434.27</v>
      </c>
      <c r="H158" s="268">
        <f>I158+K158</f>
        <v>85.11</v>
      </c>
      <c r="I158" s="287">
        <v>7.01</v>
      </c>
      <c r="J158" s="268">
        <f>I158*(1+$M$9)</f>
        <v>8.89</v>
      </c>
      <c r="K158" s="292">
        <v>78.099999999999994</v>
      </c>
      <c r="L158" s="268">
        <f>K158*(1+$M$9)</f>
        <v>99.09</v>
      </c>
      <c r="M158" s="268">
        <f>L158+J158</f>
        <v>107.98</v>
      </c>
      <c r="N158" s="268">
        <f>J158*G158</f>
        <v>3860.66</v>
      </c>
      <c r="O158" s="268">
        <f>L158*G158</f>
        <v>43031.81</v>
      </c>
      <c r="P158" s="268">
        <f>O158+N158</f>
        <v>46892.47</v>
      </c>
      <c r="Q158" s="269">
        <f>P158/$O$485</f>
        <v>1.8499999999999999E-2</v>
      </c>
      <c r="R158" s="44"/>
      <c r="S158" s="49">
        <f t="shared" si="61"/>
        <v>36960.720000000001</v>
      </c>
      <c r="T158" s="126"/>
      <c r="U158" s="48"/>
      <c r="V158" s="48"/>
      <c r="W158" s="48"/>
      <c r="X158" s="48"/>
      <c r="Y158" s="48"/>
      <c r="Z158" s="48"/>
      <c r="AA158" s="48"/>
      <c r="AB158" s="48"/>
      <c r="AC158" s="48"/>
      <c r="AD158" s="48"/>
      <c r="AE158" s="48"/>
      <c r="AF158" s="48"/>
      <c r="AG158" s="48"/>
      <c r="AH158" s="48"/>
      <c r="AI158" s="48"/>
      <c r="AJ158" s="44"/>
      <c r="AK158" s="44"/>
      <c r="AL158" s="44"/>
    </row>
    <row r="159" spans="1:38" x14ac:dyDescent="0.25">
      <c r="A159" s="94"/>
      <c r="B159" s="265" t="s">
        <v>566</v>
      </c>
      <c r="C159" s="266" t="s">
        <v>145</v>
      </c>
      <c r="D159" s="265" t="s">
        <v>146</v>
      </c>
      <c r="E159" s="265" t="s">
        <v>147</v>
      </c>
      <c r="F159" s="267" t="s">
        <v>41</v>
      </c>
      <c r="G159" s="277">
        <v>434.27</v>
      </c>
      <c r="H159" s="268">
        <v>26.29</v>
      </c>
      <c r="I159" s="287">
        <f>1.52+1.56+7.65+5.46</f>
        <v>16.190000000000001</v>
      </c>
      <c r="J159" s="268">
        <f>I159*(1+$M$9)</f>
        <v>20.54</v>
      </c>
      <c r="K159" s="292">
        <f>H159-I159</f>
        <v>10.1</v>
      </c>
      <c r="L159" s="268">
        <f>K159*(1+$M$9)</f>
        <v>12.81</v>
      </c>
      <c r="M159" s="268">
        <f>L159+J159</f>
        <v>33.35</v>
      </c>
      <c r="N159" s="268">
        <f>J159*G159</f>
        <v>8919.91</v>
      </c>
      <c r="O159" s="268">
        <f>L159*G159</f>
        <v>5563</v>
      </c>
      <c r="P159" s="268">
        <f>O159+N159</f>
        <v>14482.91</v>
      </c>
      <c r="Q159" s="269">
        <f>P159/$O$485</f>
        <v>5.7000000000000002E-3</v>
      </c>
      <c r="R159" s="44"/>
      <c r="S159" s="49">
        <f t="shared" si="61"/>
        <v>11416.96</v>
      </c>
      <c r="T159" s="85"/>
      <c r="U159" s="48"/>
      <c r="V159" s="48"/>
      <c r="W159" s="48"/>
      <c r="X159" s="48"/>
      <c r="Y159" s="48"/>
      <c r="Z159" s="48"/>
      <c r="AA159" s="48"/>
      <c r="AB159" s="48"/>
      <c r="AC159" s="48"/>
      <c r="AD159" s="48"/>
      <c r="AE159" s="48"/>
      <c r="AF159" s="48"/>
      <c r="AG159" s="48"/>
      <c r="AH159" s="48"/>
      <c r="AI159" s="48"/>
      <c r="AJ159" s="44"/>
      <c r="AK159" s="44"/>
      <c r="AL159" s="44"/>
    </row>
    <row r="160" spans="1:38" x14ac:dyDescent="0.25">
      <c r="A160" s="94"/>
      <c r="B160" s="261" t="s">
        <v>233</v>
      </c>
      <c r="C160" s="261"/>
      <c r="D160" s="261"/>
      <c r="E160" s="261" t="s">
        <v>567</v>
      </c>
      <c r="F160" s="261"/>
      <c r="G160" s="276"/>
      <c r="H160" s="262"/>
      <c r="I160" s="286"/>
      <c r="J160" s="261"/>
      <c r="K160" s="291"/>
      <c r="L160" s="261"/>
      <c r="M160" s="261"/>
      <c r="N160" s="261"/>
      <c r="O160" s="261"/>
      <c r="P160" s="263"/>
      <c r="Q160" s="263"/>
      <c r="R160" s="44"/>
      <c r="S160" s="49">
        <f t="shared" si="61"/>
        <v>0</v>
      </c>
      <c r="T160" s="85"/>
      <c r="U160" s="48"/>
      <c r="V160" s="48"/>
      <c r="W160" s="48"/>
      <c r="X160" s="48"/>
      <c r="Y160" s="48"/>
      <c r="Z160" s="48"/>
      <c r="AA160" s="48"/>
      <c r="AB160" s="48"/>
      <c r="AC160" s="48"/>
      <c r="AD160" s="48"/>
      <c r="AE160" s="48"/>
      <c r="AF160" s="48"/>
      <c r="AG160" s="48"/>
      <c r="AH160" s="48"/>
      <c r="AI160" s="48"/>
      <c r="AJ160" s="44"/>
      <c r="AK160" s="44"/>
      <c r="AL160" s="44"/>
    </row>
    <row r="161" spans="1:38" x14ac:dyDescent="0.25">
      <c r="A161" s="94"/>
      <c r="B161" s="265" t="s">
        <v>568</v>
      </c>
      <c r="C161" s="266" t="s">
        <v>236</v>
      </c>
      <c r="D161" s="265" t="s">
        <v>146</v>
      </c>
      <c r="E161" s="265" t="s">
        <v>237</v>
      </c>
      <c r="F161" s="267" t="s">
        <v>41</v>
      </c>
      <c r="G161" s="277">
        <v>366.29</v>
      </c>
      <c r="H161" s="268">
        <v>77.599999999999994</v>
      </c>
      <c r="I161" s="287">
        <v>0</v>
      </c>
      <c r="J161" s="268">
        <f>I161*(1+$M$9)</f>
        <v>0</v>
      </c>
      <c r="K161" s="292">
        <f>H161</f>
        <v>77.599999999999994</v>
      </c>
      <c r="L161" s="268">
        <f>K161*(1+$M$9)</f>
        <v>98.45</v>
      </c>
      <c r="M161" s="268">
        <f>L161+J161</f>
        <v>98.45</v>
      </c>
      <c r="N161" s="268">
        <f>J161*G161</f>
        <v>0</v>
      </c>
      <c r="O161" s="268">
        <f>L161*G161</f>
        <v>36061.25</v>
      </c>
      <c r="P161" s="268">
        <f>O161+N161</f>
        <v>36061.25</v>
      </c>
      <c r="Q161" s="269">
        <f>P161/$O$485</f>
        <v>1.43E-2</v>
      </c>
      <c r="R161" s="44"/>
      <c r="S161" s="49">
        <f t="shared" si="61"/>
        <v>28424.1</v>
      </c>
      <c r="T161" s="85"/>
      <c r="U161" s="48"/>
      <c r="V161" s="48"/>
      <c r="W161" s="48"/>
      <c r="X161" s="48"/>
      <c r="Y161" s="48"/>
      <c r="Z161" s="48"/>
      <c r="AA161" s="48"/>
      <c r="AB161" s="48"/>
      <c r="AC161" s="48"/>
      <c r="AD161" s="48"/>
      <c r="AE161" s="48"/>
      <c r="AF161" s="48"/>
      <c r="AG161" s="48"/>
      <c r="AH161" s="48"/>
      <c r="AI161" s="48"/>
      <c r="AJ161" s="44"/>
      <c r="AK161" s="44"/>
      <c r="AL161" s="44"/>
    </row>
    <row r="162" spans="1:38" ht="27.6" x14ac:dyDescent="0.25">
      <c r="A162" s="94"/>
      <c r="B162" s="265" t="s">
        <v>1640</v>
      </c>
      <c r="C162" s="266" t="s">
        <v>1641</v>
      </c>
      <c r="D162" s="265" t="s">
        <v>146</v>
      </c>
      <c r="E162" s="265" t="s">
        <v>1642</v>
      </c>
      <c r="F162" s="267" t="s">
        <v>41</v>
      </c>
      <c r="G162" s="277">
        <v>67.98</v>
      </c>
      <c r="H162" s="268">
        <v>42.3</v>
      </c>
      <c r="I162" s="287">
        <v>0</v>
      </c>
      <c r="J162" s="268">
        <f>I162*(1+$M$9)</f>
        <v>0</v>
      </c>
      <c r="K162" s="292">
        <f>H162</f>
        <v>42.3</v>
      </c>
      <c r="L162" s="268">
        <f>K162*(1+$M$9)</f>
        <v>53.67</v>
      </c>
      <c r="M162" s="268">
        <f>L162+J162</f>
        <v>53.67</v>
      </c>
      <c r="N162" s="268">
        <f>J162*G162</f>
        <v>0</v>
      </c>
      <c r="O162" s="268">
        <f>L162*G162</f>
        <v>3648.49</v>
      </c>
      <c r="P162" s="268">
        <f>O162+N162</f>
        <v>3648.49</v>
      </c>
      <c r="Q162" s="269">
        <f>P162/$O$485</f>
        <v>1.4E-3</v>
      </c>
      <c r="R162" s="44"/>
      <c r="S162" s="49">
        <f t="shared" si="61"/>
        <v>2875.55</v>
      </c>
      <c r="T162" s="85"/>
      <c r="U162" s="48"/>
      <c r="V162" s="48"/>
      <c r="W162" s="48"/>
      <c r="X162" s="48"/>
      <c r="Y162" s="48"/>
      <c r="Z162" s="48"/>
      <c r="AA162" s="48"/>
      <c r="AB162" s="48"/>
      <c r="AC162" s="48"/>
      <c r="AD162" s="48"/>
      <c r="AE162" s="48"/>
      <c r="AF162" s="48"/>
      <c r="AG162" s="48"/>
      <c r="AH162" s="48"/>
      <c r="AI162" s="48"/>
      <c r="AJ162" s="44"/>
      <c r="AK162" s="44"/>
      <c r="AL162" s="44"/>
    </row>
    <row r="163" spans="1:38" x14ac:dyDescent="0.25">
      <c r="A163" s="94"/>
      <c r="B163" s="261" t="s">
        <v>234</v>
      </c>
      <c r="C163" s="261"/>
      <c r="D163" s="261"/>
      <c r="E163" s="261" t="s">
        <v>570</v>
      </c>
      <c r="F163" s="261"/>
      <c r="G163" s="276"/>
      <c r="H163" s="262"/>
      <c r="I163" s="286"/>
      <c r="J163" s="261"/>
      <c r="K163" s="291"/>
      <c r="L163" s="261"/>
      <c r="M163" s="261"/>
      <c r="N163" s="261"/>
      <c r="O163" s="261"/>
      <c r="P163" s="263"/>
      <c r="Q163" s="263"/>
      <c r="R163" s="44"/>
      <c r="S163" s="49">
        <f t="shared" si="61"/>
        <v>0</v>
      </c>
      <c r="T163" s="85"/>
      <c r="U163" s="48"/>
      <c r="V163" s="48"/>
      <c r="W163" s="48"/>
      <c r="X163" s="48"/>
      <c r="Y163" s="48"/>
      <c r="Z163" s="48"/>
      <c r="AA163" s="48"/>
      <c r="AB163" s="48"/>
      <c r="AC163" s="48"/>
      <c r="AD163" s="48"/>
      <c r="AE163" s="48"/>
      <c r="AF163" s="48"/>
      <c r="AG163" s="48"/>
      <c r="AH163" s="48"/>
      <c r="AI163" s="48"/>
      <c r="AJ163" s="44"/>
      <c r="AK163" s="44"/>
      <c r="AL163" s="44"/>
    </row>
    <row r="164" spans="1:38" x14ac:dyDescent="0.25">
      <c r="A164" s="94"/>
      <c r="B164" s="265" t="s">
        <v>569</v>
      </c>
      <c r="C164" s="266" t="s">
        <v>238</v>
      </c>
      <c r="D164" s="265" t="s">
        <v>146</v>
      </c>
      <c r="E164" s="265" t="s">
        <v>239</v>
      </c>
      <c r="F164" s="267" t="s">
        <v>240</v>
      </c>
      <c r="G164" s="277">
        <v>371.25</v>
      </c>
      <c r="H164" s="268">
        <v>20.36</v>
      </c>
      <c r="I164" s="287">
        <v>0</v>
      </c>
      <c r="J164" s="268">
        <f>I164*(1+$M$9)</f>
        <v>0</v>
      </c>
      <c r="K164" s="292">
        <f>H164</f>
        <v>20.36</v>
      </c>
      <c r="L164" s="268">
        <f>K164*(1+$M$9)</f>
        <v>25.83</v>
      </c>
      <c r="M164" s="268">
        <f>L164+J164</f>
        <v>25.83</v>
      </c>
      <c r="N164" s="268">
        <f>J164*G164</f>
        <v>0</v>
      </c>
      <c r="O164" s="268">
        <f>L164*G164</f>
        <v>9589.39</v>
      </c>
      <c r="P164" s="268">
        <f>O164+N164</f>
        <v>9589.39</v>
      </c>
      <c r="Q164" s="269">
        <f>P164/$O$485</f>
        <v>3.8E-3</v>
      </c>
      <c r="R164" s="44"/>
      <c r="S164" s="49">
        <f t="shared" si="61"/>
        <v>7558.65</v>
      </c>
      <c r="T164" s="85"/>
      <c r="U164" s="48"/>
      <c r="V164" s="48"/>
      <c r="W164" s="48"/>
      <c r="X164" s="48"/>
      <c r="Y164" s="48"/>
      <c r="Z164" s="48"/>
      <c r="AA164" s="48"/>
      <c r="AB164" s="48"/>
      <c r="AC164" s="48"/>
      <c r="AD164" s="48"/>
      <c r="AE164" s="48"/>
      <c r="AF164" s="48"/>
      <c r="AG164" s="48"/>
      <c r="AH164" s="48"/>
      <c r="AI164" s="48"/>
      <c r="AJ164" s="44"/>
      <c r="AK164" s="44"/>
      <c r="AL164" s="44"/>
    </row>
    <row r="165" spans="1:38" x14ac:dyDescent="0.25">
      <c r="A165" s="94"/>
      <c r="B165" s="261">
        <v>10</v>
      </c>
      <c r="C165" s="261"/>
      <c r="D165" s="261"/>
      <c r="E165" s="261" t="s">
        <v>571</v>
      </c>
      <c r="F165" s="261"/>
      <c r="G165" s="276"/>
      <c r="H165" s="262"/>
      <c r="I165" s="286"/>
      <c r="J165" s="261"/>
      <c r="K165" s="291"/>
      <c r="L165" s="261"/>
      <c r="M165" s="261"/>
      <c r="N165" s="261"/>
      <c r="O165" s="261"/>
      <c r="P165" s="263"/>
      <c r="Q165" s="263"/>
      <c r="R165" s="44"/>
      <c r="S165" s="49">
        <f t="shared" si="61"/>
        <v>0</v>
      </c>
      <c r="T165" s="85"/>
      <c r="U165" s="48"/>
      <c r="V165" s="48"/>
      <c r="W165" s="48"/>
      <c r="X165" s="48"/>
      <c r="Y165" s="48"/>
      <c r="Z165" s="48"/>
      <c r="AA165" s="48"/>
      <c r="AB165" s="48"/>
      <c r="AC165" s="48"/>
      <c r="AD165" s="48"/>
      <c r="AE165" s="48"/>
      <c r="AF165" s="48"/>
      <c r="AG165" s="48"/>
      <c r="AH165" s="48"/>
      <c r="AI165" s="48"/>
      <c r="AJ165" s="44"/>
      <c r="AK165" s="44"/>
      <c r="AL165" s="44"/>
    </row>
    <row r="166" spans="1:38" x14ac:dyDescent="0.25">
      <c r="A166" s="94"/>
      <c r="B166" s="261" t="s">
        <v>235</v>
      </c>
      <c r="C166" s="261"/>
      <c r="D166" s="261"/>
      <c r="E166" s="261" t="s">
        <v>139</v>
      </c>
      <c r="F166" s="261"/>
      <c r="G166" s="276"/>
      <c r="H166" s="262"/>
      <c r="I166" s="286"/>
      <c r="J166" s="261"/>
      <c r="K166" s="291"/>
      <c r="L166" s="261"/>
      <c r="M166" s="261"/>
      <c r="N166" s="261"/>
      <c r="O166" s="261"/>
      <c r="P166" s="263"/>
      <c r="Q166" s="263"/>
      <c r="R166" s="44"/>
      <c r="S166" s="49">
        <f t="shared" si="61"/>
        <v>0</v>
      </c>
      <c r="T166" s="85"/>
      <c r="U166" s="48"/>
      <c r="V166" s="48"/>
      <c r="W166" s="48"/>
      <c r="X166" s="48"/>
      <c r="Y166" s="48"/>
      <c r="Z166" s="48"/>
      <c r="AA166" s="48"/>
      <c r="AB166" s="48"/>
      <c r="AC166" s="48"/>
      <c r="AD166" s="48"/>
      <c r="AE166" s="48"/>
      <c r="AF166" s="48"/>
      <c r="AG166" s="48"/>
      <c r="AH166" s="48"/>
      <c r="AI166" s="48"/>
      <c r="AJ166" s="44"/>
      <c r="AK166" s="44"/>
      <c r="AL166" s="44"/>
    </row>
    <row r="167" spans="1:38" ht="27.6" x14ac:dyDescent="0.25">
      <c r="A167" s="94"/>
      <c r="B167" s="265" t="s">
        <v>890</v>
      </c>
      <c r="C167" s="266" t="s">
        <v>1637</v>
      </c>
      <c r="D167" s="265" t="s">
        <v>40</v>
      </c>
      <c r="E167" s="265" t="s">
        <v>1638</v>
      </c>
      <c r="F167" s="267" t="s">
        <v>59</v>
      </c>
      <c r="G167" s="277">
        <v>57.9</v>
      </c>
      <c r="H167" s="268">
        <f>I167+K167</f>
        <v>678.68</v>
      </c>
      <c r="I167" s="287">
        <v>57.51</v>
      </c>
      <c r="J167" s="268">
        <f>I167*(1+$M$9)</f>
        <v>72.959999999999994</v>
      </c>
      <c r="K167" s="292">
        <v>621.16999999999996</v>
      </c>
      <c r="L167" s="268">
        <f>K167*(1+$M$9)</f>
        <v>788.08</v>
      </c>
      <c r="M167" s="268">
        <f>L167+J167</f>
        <v>861.04</v>
      </c>
      <c r="N167" s="268">
        <f>J167*G167</f>
        <v>4224.38</v>
      </c>
      <c r="O167" s="268">
        <f>L167*G167</f>
        <v>45629.83</v>
      </c>
      <c r="P167" s="268">
        <f>O167+N167</f>
        <v>49854.21</v>
      </c>
      <c r="Q167" s="269">
        <f>P167/$O$485</f>
        <v>1.9699999999999999E-2</v>
      </c>
      <c r="R167" s="44"/>
      <c r="S167" s="49">
        <f t="shared" si="61"/>
        <v>39295.57</v>
      </c>
      <c r="T167" s="85"/>
      <c r="U167" s="48"/>
      <c r="V167" s="48"/>
      <c r="W167" s="48"/>
      <c r="X167" s="48"/>
      <c r="Y167" s="48"/>
      <c r="Z167" s="48"/>
      <c r="AA167" s="48"/>
      <c r="AB167" s="48"/>
      <c r="AC167" s="48"/>
      <c r="AD167" s="48"/>
      <c r="AE167" s="48"/>
      <c r="AF167" s="48"/>
      <c r="AG167" s="48"/>
      <c r="AH167" s="48"/>
      <c r="AI167" s="48"/>
      <c r="AJ167" s="44"/>
      <c r="AK167" s="44"/>
      <c r="AL167" s="44"/>
    </row>
    <row r="168" spans="1:38" x14ac:dyDescent="0.25">
      <c r="A168" s="94"/>
      <c r="B168" s="261">
        <v>11</v>
      </c>
      <c r="C168" s="261"/>
      <c r="D168" s="261"/>
      <c r="E168" s="261" t="s">
        <v>572</v>
      </c>
      <c r="F168" s="261"/>
      <c r="G168" s="276"/>
      <c r="H168" s="262"/>
      <c r="I168" s="286"/>
      <c r="J168" s="261"/>
      <c r="K168" s="291"/>
      <c r="L168" s="261"/>
      <c r="M168" s="261"/>
      <c r="N168" s="261"/>
      <c r="O168" s="261"/>
      <c r="P168" s="263"/>
      <c r="Q168" s="263"/>
      <c r="R168" s="44"/>
      <c r="S168" s="49">
        <f t="shared" si="61"/>
        <v>0</v>
      </c>
      <c r="T168" s="85"/>
      <c r="U168" s="48"/>
      <c r="V168" s="48"/>
      <c r="W168" s="48"/>
      <c r="X168" s="48"/>
      <c r="Y168" s="48"/>
      <c r="Z168" s="48"/>
      <c r="AA168" s="48"/>
      <c r="AB168" s="48"/>
      <c r="AC168" s="48"/>
      <c r="AD168" s="48"/>
      <c r="AE168" s="48"/>
      <c r="AF168" s="48"/>
      <c r="AG168" s="48"/>
      <c r="AH168" s="48"/>
      <c r="AI168" s="48"/>
      <c r="AJ168" s="44"/>
      <c r="AK168" s="44"/>
      <c r="AL168" s="44"/>
    </row>
    <row r="169" spans="1:38" x14ac:dyDescent="0.25">
      <c r="A169" s="94"/>
      <c r="B169" s="261" t="s">
        <v>241</v>
      </c>
      <c r="C169" s="261"/>
      <c r="D169" s="261"/>
      <c r="E169" s="261" t="s">
        <v>1023</v>
      </c>
      <c r="F169" s="261"/>
      <c r="G169" s="276"/>
      <c r="H169" s="262"/>
      <c r="I169" s="286"/>
      <c r="J169" s="261"/>
      <c r="K169" s="291"/>
      <c r="L169" s="261"/>
      <c r="M169" s="261"/>
      <c r="N169" s="261"/>
      <c r="O169" s="261"/>
      <c r="P169" s="263"/>
      <c r="Q169" s="263"/>
      <c r="R169" s="44"/>
      <c r="S169" s="49">
        <f t="shared" si="61"/>
        <v>0</v>
      </c>
      <c r="T169" s="85"/>
      <c r="U169" s="48"/>
      <c r="V169" s="48"/>
      <c r="W169" s="48"/>
      <c r="X169" s="48"/>
      <c r="Y169" s="48"/>
      <c r="Z169" s="48"/>
      <c r="AA169" s="48"/>
      <c r="AB169" s="48"/>
      <c r="AC169" s="48"/>
      <c r="AD169" s="48"/>
      <c r="AE169" s="48"/>
      <c r="AF169" s="48"/>
      <c r="AG169" s="48"/>
      <c r="AH169" s="48"/>
      <c r="AI169" s="48"/>
      <c r="AJ169" s="44"/>
      <c r="AK169" s="44"/>
      <c r="AL169" s="44"/>
    </row>
    <row r="170" spans="1:38" ht="27.6" x14ac:dyDescent="0.25">
      <c r="A170" s="94"/>
      <c r="B170" s="265" t="s">
        <v>1022</v>
      </c>
      <c r="C170" s="266" t="s">
        <v>231</v>
      </c>
      <c r="D170" s="265" t="s">
        <v>40</v>
      </c>
      <c r="E170" s="265" t="s">
        <v>232</v>
      </c>
      <c r="F170" s="267" t="s">
        <v>41</v>
      </c>
      <c r="G170" s="277">
        <v>528.80999999999995</v>
      </c>
      <c r="H170" s="268">
        <f>I170+K170</f>
        <v>67.239999999999995</v>
      </c>
      <c r="I170" s="287">
        <v>14.54</v>
      </c>
      <c r="J170" s="268">
        <f>I170*(1+$M$9)</f>
        <v>18.45</v>
      </c>
      <c r="K170" s="292">
        <v>52.7</v>
      </c>
      <c r="L170" s="268">
        <f>K170*(1+$M$9)</f>
        <v>66.86</v>
      </c>
      <c r="M170" s="268">
        <f>L170+J170</f>
        <v>85.31</v>
      </c>
      <c r="N170" s="268">
        <f>J170*G170</f>
        <v>9756.5400000000009</v>
      </c>
      <c r="O170" s="268">
        <f>L170*G170</f>
        <v>35356.239999999998</v>
      </c>
      <c r="P170" s="268">
        <f>O170+N170</f>
        <v>45112.78</v>
      </c>
      <c r="Q170" s="269">
        <f>P170/$O$485</f>
        <v>1.78E-2</v>
      </c>
      <c r="R170" s="44"/>
      <c r="S170" s="49">
        <f t="shared" si="61"/>
        <v>35557.18</v>
      </c>
      <c r="T170" s="85"/>
      <c r="U170" s="48"/>
      <c r="V170" s="48"/>
      <c r="W170" s="48"/>
      <c r="X170" s="48"/>
      <c r="Y170" s="48"/>
      <c r="Z170" s="48"/>
      <c r="AA170" s="48"/>
      <c r="AB170" s="48"/>
      <c r="AC170" s="48"/>
      <c r="AD170" s="48"/>
      <c r="AE170" s="48"/>
      <c r="AF170" s="48"/>
      <c r="AG170" s="48"/>
      <c r="AH170" s="48"/>
      <c r="AI170" s="48"/>
      <c r="AJ170" s="44"/>
      <c r="AK170" s="44"/>
      <c r="AL170" s="44"/>
    </row>
    <row r="171" spans="1:38" x14ac:dyDescent="0.25">
      <c r="A171" s="94"/>
      <c r="B171" s="261">
        <v>12</v>
      </c>
      <c r="C171" s="261"/>
      <c r="D171" s="261"/>
      <c r="E171" s="261" t="s">
        <v>279</v>
      </c>
      <c r="F171" s="261"/>
      <c r="G171" s="276"/>
      <c r="H171" s="262"/>
      <c r="I171" s="286"/>
      <c r="J171" s="261"/>
      <c r="K171" s="291"/>
      <c r="L171" s="261"/>
      <c r="M171" s="261"/>
      <c r="N171" s="261"/>
      <c r="O171" s="261"/>
      <c r="P171" s="263"/>
      <c r="Q171" s="263"/>
      <c r="R171" s="44"/>
      <c r="S171" s="49">
        <f t="shared" si="61"/>
        <v>0</v>
      </c>
      <c r="T171" s="85"/>
      <c r="U171" s="48"/>
      <c r="V171" s="48"/>
      <c r="W171" s="48"/>
      <c r="X171" s="48"/>
      <c r="Y171" s="48"/>
      <c r="Z171" s="48"/>
      <c r="AA171" s="48"/>
      <c r="AB171" s="48"/>
      <c r="AC171" s="48"/>
      <c r="AD171" s="48"/>
      <c r="AE171" s="48"/>
      <c r="AF171" s="48"/>
      <c r="AG171" s="48"/>
      <c r="AH171" s="48"/>
      <c r="AI171" s="48"/>
      <c r="AJ171" s="44"/>
      <c r="AK171" s="44"/>
      <c r="AL171" s="44"/>
    </row>
    <row r="172" spans="1:38" ht="27.6" customHeight="1" x14ac:dyDescent="0.25">
      <c r="A172" s="94"/>
      <c r="B172" s="261" t="s">
        <v>242</v>
      </c>
      <c r="C172" s="261"/>
      <c r="D172" s="261"/>
      <c r="E172" s="261" t="s">
        <v>573</v>
      </c>
      <c r="F172" s="261"/>
      <c r="G172" s="276"/>
      <c r="H172" s="262"/>
      <c r="I172" s="286"/>
      <c r="J172" s="261"/>
      <c r="K172" s="291"/>
      <c r="L172" s="261"/>
      <c r="M172" s="261"/>
      <c r="N172" s="261"/>
      <c r="O172" s="261"/>
      <c r="P172" s="263"/>
      <c r="Q172" s="263"/>
      <c r="R172" s="44"/>
      <c r="S172" s="49">
        <f t="shared" si="61"/>
        <v>0</v>
      </c>
      <c r="T172" s="85"/>
      <c r="U172" s="48"/>
      <c r="V172" s="48"/>
      <c r="W172" s="48"/>
      <c r="X172" s="48"/>
      <c r="Y172" s="48"/>
      <c r="Z172" s="48"/>
      <c r="AA172" s="48"/>
      <c r="AB172" s="48"/>
      <c r="AC172" s="48"/>
      <c r="AD172" s="48"/>
      <c r="AE172" s="48"/>
      <c r="AF172" s="48"/>
      <c r="AG172" s="48"/>
      <c r="AH172" s="48"/>
      <c r="AI172" s="48"/>
      <c r="AJ172" s="44"/>
      <c r="AK172" s="44"/>
      <c r="AL172" s="44"/>
    </row>
    <row r="173" spans="1:38" x14ac:dyDescent="0.25">
      <c r="A173" s="94"/>
      <c r="B173" s="265" t="s">
        <v>1024</v>
      </c>
      <c r="C173" s="266" t="s">
        <v>281</v>
      </c>
      <c r="D173" s="265" t="s">
        <v>40</v>
      </c>
      <c r="E173" s="265" t="s">
        <v>282</v>
      </c>
      <c r="F173" s="267" t="s">
        <v>41</v>
      </c>
      <c r="G173" s="277">
        <v>715.44</v>
      </c>
      <c r="H173" s="268">
        <f>I173+K173</f>
        <v>3.82</v>
      </c>
      <c r="I173" s="287">
        <v>1.53</v>
      </c>
      <c r="J173" s="268">
        <f>I173*(1+$M$9)</f>
        <v>1.94</v>
      </c>
      <c r="K173" s="292">
        <v>2.29</v>
      </c>
      <c r="L173" s="268">
        <f>K173*(1+$M$9)</f>
        <v>2.91</v>
      </c>
      <c r="M173" s="268">
        <f>L173+J173</f>
        <v>4.8499999999999996</v>
      </c>
      <c r="N173" s="268">
        <f>J173*G173</f>
        <v>1387.95</v>
      </c>
      <c r="O173" s="268">
        <f>L173*G173</f>
        <v>2081.9299999999998</v>
      </c>
      <c r="P173" s="268">
        <f>O173+N173</f>
        <v>3469.88</v>
      </c>
      <c r="Q173" s="269">
        <f>P173/$O$485</f>
        <v>1.4E-3</v>
      </c>
      <c r="R173" s="44"/>
      <c r="S173" s="49">
        <f t="shared" si="61"/>
        <v>2732.98</v>
      </c>
      <c r="T173" s="85"/>
      <c r="U173" s="48"/>
      <c r="V173" s="48"/>
      <c r="W173" s="48"/>
      <c r="X173" s="48"/>
      <c r="Y173" s="48"/>
      <c r="Z173" s="48"/>
      <c r="AA173" s="48"/>
      <c r="AB173" s="48"/>
      <c r="AC173" s="48"/>
      <c r="AD173" s="48"/>
      <c r="AE173" s="48"/>
      <c r="AF173" s="48"/>
      <c r="AG173" s="48"/>
      <c r="AH173" s="48"/>
      <c r="AI173" s="48"/>
      <c r="AJ173" s="44"/>
      <c r="AK173" s="44"/>
      <c r="AL173" s="44"/>
    </row>
    <row r="174" spans="1:38" ht="27.6" customHeight="1" x14ac:dyDescent="0.25">
      <c r="A174" s="94"/>
      <c r="B174" s="265" t="s">
        <v>1025</v>
      </c>
      <c r="C174" s="266" t="s">
        <v>1174</v>
      </c>
      <c r="D174" s="265" t="s">
        <v>40</v>
      </c>
      <c r="E174" s="265" t="s">
        <v>1175</v>
      </c>
      <c r="F174" s="267" t="s">
        <v>41</v>
      </c>
      <c r="G174" s="277">
        <v>1349.77</v>
      </c>
      <c r="H174" s="268">
        <f>I174+K174</f>
        <v>9.67</v>
      </c>
      <c r="I174" s="287">
        <v>5.69</v>
      </c>
      <c r="J174" s="268">
        <f>I174*(1+$M$9)</f>
        <v>7.22</v>
      </c>
      <c r="K174" s="292">
        <v>3.98</v>
      </c>
      <c r="L174" s="268">
        <f>K174*(1+$M$9)</f>
        <v>5.05</v>
      </c>
      <c r="M174" s="268">
        <f>L174+J174</f>
        <v>12.27</v>
      </c>
      <c r="N174" s="268">
        <f>J174*G174</f>
        <v>9745.34</v>
      </c>
      <c r="O174" s="268">
        <f>L174*G174</f>
        <v>6816.34</v>
      </c>
      <c r="P174" s="268">
        <f>O174+N174</f>
        <v>16561.68</v>
      </c>
      <c r="Q174" s="269">
        <f>P174/$O$485</f>
        <v>6.4999999999999997E-3</v>
      </c>
      <c r="R174" s="44"/>
      <c r="S174" s="49">
        <f t="shared" si="61"/>
        <v>13052.28</v>
      </c>
      <c r="T174" s="126"/>
      <c r="U174" s="48"/>
      <c r="V174" s="48"/>
      <c r="W174" s="48"/>
      <c r="X174" s="48"/>
      <c r="Y174" s="48"/>
      <c r="Z174" s="48"/>
      <c r="AA174" s="48"/>
      <c r="AB174" s="48"/>
      <c r="AC174" s="48"/>
      <c r="AD174" s="48"/>
      <c r="AE174" s="48"/>
      <c r="AF174" s="48"/>
      <c r="AG174" s="48"/>
      <c r="AH174" s="48"/>
      <c r="AI174" s="48"/>
      <c r="AJ174" s="44"/>
      <c r="AK174" s="44"/>
      <c r="AL174" s="44"/>
    </row>
    <row r="175" spans="1:38" x14ac:dyDescent="0.25">
      <c r="A175" s="94"/>
      <c r="B175" s="265" t="s">
        <v>1026</v>
      </c>
      <c r="C175" s="266">
        <v>96130</v>
      </c>
      <c r="D175" s="265" t="s">
        <v>40</v>
      </c>
      <c r="E175" s="265" t="s">
        <v>1467</v>
      </c>
      <c r="F175" s="267" t="s">
        <v>41</v>
      </c>
      <c r="G175" s="277">
        <v>715.44</v>
      </c>
      <c r="H175" s="268">
        <f>I175+K175</f>
        <v>15.79</v>
      </c>
      <c r="I175" s="287">
        <v>8.94</v>
      </c>
      <c r="J175" s="268">
        <f>I175*(1+$M$9)</f>
        <v>11.34</v>
      </c>
      <c r="K175" s="292">
        <v>6.85</v>
      </c>
      <c r="L175" s="268">
        <f>K175*(1+$M$9)</f>
        <v>8.69</v>
      </c>
      <c r="M175" s="268">
        <f>L175+J175</f>
        <v>20.03</v>
      </c>
      <c r="N175" s="268">
        <f>J175*G175</f>
        <v>8113.09</v>
      </c>
      <c r="O175" s="268">
        <f>L175*G175</f>
        <v>6217.17</v>
      </c>
      <c r="P175" s="268">
        <f>O175+N175</f>
        <v>14330.26</v>
      </c>
      <c r="Q175" s="269">
        <f>P175/$O$485</f>
        <v>5.7000000000000002E-3</v>
      </c>
      <c r="R175" s="44"/>
      <c r="S175" s="49">
        <f t="shared" si="61"/>
        <v>11296.8</v>
      </c>
      <c r="T175" s="85"/>
      <c r="U175" s="48"/>
      <c r="V175" s="48"/>
      <c r="W175" s="48"/>
      <c r="X175" s="48"/>
      <c r="Y175" s="48"/>
      <c r="Z175" s="48"/>
      <c r="AA175" s="48"/>
      <c r="AB175" s="48"/>
      <c r="AC175" s="48"/>
      <c r="AD175" s="48"/>
      <c r="AE175" s="48"/>
      <c r="AF175" s="48"/>
      <c r="AG175" s="48"/>
      <c r="AH175" s="48"/>
      <c r="AI175" s="48"/>
      <c r="AJ175" s="44"/>
      <c r="AK175" s="44"/>
      <c r="AL175" s="44"/>
    </row>
    <row r="176" spans="1:38" x14ac:dyDescent="0.25">
      <c r="A176" s="94"/>
      <c r="B176" s="265" t="s">
        <v>1027</v>
      </c>
      <c r="C176" s="266" t="s">
        <v>1188</v>
      </c>
      <c r="D176" s="265" t="s">
        <v>40</v>
      </c>
      <c r="E176" s="265" t="s">
        <v>1189</v>
      </c>
      <c r="F176" s="267" t="s">
        <v>41</v>
      </c>
      <c r="G176" s="277">
        <v>1349.77</v>
      </c>
      <c r="H176" s="268">
        <f>I176+K176</f>
        <v>8.7200000000000006</v>
      </c>
      <c r="I176" s="287">
        <v>3.75</v>
      </c>
      <c r="J176" s="268">
        <f>I176*(1+$M$9)</f>
        <v>4.76</v>
      </c>
      <c r="K176" s="292">
        <v>4.97</v>
      </c>
      <c r="L176" s="268">
        <f>K176*(1+$M$9)</f>
        <v>6.31</v>
      </c>
      <c r="M176" s="268">
        <f>L176+J176</f>
        <v>11.07</v>
      </c>
      <c r="N176" s="268">
        <f>J176*G176</f>
        <v>6424.91</v>
      </c>
      <c r="O176" s="268">
        <f>L176*G176</f>
        <v>8517.0499999999993</v>
      </c>
      <c r="P176" s="268">
        <f>O176+N176</f>
        <v>14941.96</v>
      </c>
      <c r="Q176" s="269">
        <f>P176/$O$485</f>
        <v>5.8999999999999999E-3</v>
      </c>
      <c r="R176" s="44"/>
      <c r="S176" s="49">
        <f t="shared" si="61"/>
        <v>11769.99</v>
      </c>
      <c r="T176" s="85"/>
      <c r="U176" s="48"/>
      <c r="V176" s="48"/>
      <c r="W176" s="48"/>
      <c r="X176" s="48"/>
      <c r="Y176" s="48"/>
      <c r="Z176" s="48"/>
      <c r="AA176" s="48"/>
      <c r="AB176" s="48"/>
      <c r="AC176" s="48"/>
      <c r="AD176" s="48"/>
      <c r="AE176" s="48"/>
      <c r="AF176" s="48"/>
      <c r="AG176" s="48"/>
      <c r="AH176" s="48"/>
      <c r="AI176" s="48"/>
      <c r="AJ176" s="44"/>
      <c r="AK176" s="44"/>
      <c r="AL176" s="44"/>
    </row>
    <row r="177" spans="1:38" x14ac:dyDescent="0.25">
      <c r="A177" s="94"/>
      <c r="B177" s="265" t="s">
        <v>1468</v>
      </c>
      <c r="C177" s="266" t="s">
        <v>1190</v>
      </c>
      <c r="D177" s="265" t="s">
        <v>40</v>
      </c>
      <c r="E177" s="265" t="s">
        <v>1191</v>
      </c>
      <c r="F177" s="267" t="s">
        <v>41</v>
      </c>
      <c r="G177" s="277">
        <v>1021.14</v>
      </c>
      <c r="H177" s="268">
        <f>I177+K177</f>
        <v>13.38</v>
      </c>
      <c r="I177" s="287">
        <v>3.54</v>
      </c>
      <c r="J177" s="268">
        <f>I177*(1+$M$9)</f>
        <v>4.49</v>
      </c>
      <c r="K177" s="292">
        <v>9.84</v>
      </c>
      <c r="L177" s="268">
        <f>K177*(1+$M$9)</f>
        <v>12.48</v>
      </c>
      <c r="M177" s="268">
        <f>L177+J177</f>
        <v>16.97</v>
      </c>
      <c r="N177" s="268">
        <f>J177*G177</f>
        <v>4584.92</v>
      </c>
      <c r="O177" s="268">
        <f>L177*G177</f>
        <v>12743.83</v>
      </c>
      <c r="P177" s="268">
        <f>O177+N177</f>
        <v>17328.75</v>
      </c>
      <c r="Q177" s="269">
        <f>P177/$O$485</f>
        <v>6.8999999999999999E-3</v>
      </c>
      <c r="R177" s="44"/>
      <c r="S177" s="49">
        <f t="shared" si="61"/>
        <v>13662.85</v>
      </c>
      <c r="T177" s="85"/>
      <c r="U177" s="48"/>
      <c r="V177" s="48"/>
      <c r="W177" s="48"/>
      <c r="X177" s="48"/>
      <c r="Y177" s="48"/>
      <c r="Z177" s="48"/>
      <c r="AA177" s="48"/>
      <c r="AB177" s="48"/>
      <c r="AC177" s="48"/>
      <c r="AD177" s="48"/>
      <c r="AE177" s="48"/>
      <c r="AF177" s="48"/>
      <c r="AG177" s="48"/>
      <c r="AH177" s="48"/>
      <c r="AI177" s="48"/>
      <c r="AJ177" s="44"/>
      <c r="AK177" s="44"/>
      <c r="AL177" s="44"/>
    </row>
    <row r="178" spans="1:38" x14ac:dyDescent="0.25">
      <c r="A178" s="94"/>
      <c r="B178" s="261" t="s">
        <v>888</v>
      </c>
      <c r="C178" s="261"/>
      <c r="D178" s="261"/>
      <c r="E178" s="261" t="s">
        <v>574</v>
      </c>
      <c r="F178" s="261"/>
      <c r="G178" s="276"/>
      <c r="H178" s="262"/>
      <c r="I178" s="286"/>
      <c r="J178" s="261"/>
      <c r="K178" s="291"/>
      <c r="L178" s="261"/>
      <c r="M178" s="261"/>
      <c r="N178" s="261"/>
      <c r="O178" s="261"/>
      <c r="P178" s="263"/>
      <c r="Q178" s="263"/>
      <c r="R178" s="44"/>
      <c r="S178" s="49">
        <f t="shared" si="61"/>
        <v>0</v>
      </c>
      <c r="T178" s="85"/>
      <c r="U178" s="48"/>
      <c r="V178" s="48"/>
      <c r="W178" s="48"/>
      <c r="X178" s="48"/>
      <c r="Y178" s="48"/>
      <c r="Z178" s="48"/>
      <c r="AA178" s="48"/>
      <c r="AB178" s="48"/>
      <c r="AC178" s="48"/>
      <c r="AD178" s="48"/>
      <c r="AE178" s="48"/>
      <c r="AF178" s="48"/>
      <c r="AG178" s="48"/>
      <c r="AH178" s="48"/>
      <c r="AI178" s="48"/>
      <c r="AJ178" s="44"/>
      <c r="AK178" s="44"/>
      <c r="AL178" s="44"/>
    </row>
    <row r="179" spans="1:38" x14ac:dyDescent="0.25">
      <c r="A179" s="94"/>
      <c r="B179" s="265" t="s">
        <v>1028</v>
      </c>
      <c r="C179" s="266" t="s">
        <v>1176</v>
      </c>
      <c r="D179" s="265" t="s">
        <v>40</v>
      </c>
      <c r="E179" s="265" t="s">
        <v>1177</v>
      </c>
      <c r="F179" s="267" t="s">
        <v>41</v>
      </c>
      <c r="G179" s="277">
        <v>528.80999999999995</v>
      </c>
      <c r="H179" s="268">
        <f>I179+K179</f>
        <v>17.78</v>
      </c>
      <c r="I179" s="287">
        <v>11.66</v>
      </c>
      <c r="J179" s="268">
        <f>I179*(1+$M$9)</f>
        <v>14.79</v>
      </c>
      <c r="K179" s="292">
        <v>6.12</v>
      </c>
      <c r="L179" s="268">
        <f>K179*(1+$M$9)</f>
        <v>7.76</v>
      </c>
      <c r="M179" s="268">
        <f>L179+J179</f>
        <v>22.55</v>
      </c>
      <c r="N179" s="268">
        <f>J179*G179</f>
        <v>7821.1</v>
      </c>
      <c r="O179" s="268">
        <f>L179*G179</f>
        <v>4103.57</v>
      </c>
      <c r="P179" s="268">
        <f>O179+N179</f>
        <v>11924.67</v>
      </c>
      <c r="Q179" s="269">
        <f>P179/$O$485</f>
        <v>4.7000000000000002E-3</v>
      </c>
      <c r="R179" s="44"/>
      <c r="S179" s="49">
        <f t="shared" si="61"/>
        <v>9402.24</v>
      </c>
      <c r="T179" s="85"/>
      <c r="U179" s="48"/>
      <c r="V179" s="48"/>
      <c r="W179" s="48"/>
      <c r="X179" s="48"/>
      <c r="Y179" s="48"/>
      <c r="Z179" s="48"/>
      <c r="AA179" s="48"/>
      <c r="AB179" s="48"/>
      <c r="AC179" s="48"/>
      <c r="AD179" s="48"/>
      <c r="AE179" s="48"/>
      <c r="AF179" s="48"/>
      <c r="AG179" s="48"/>
      <c r="AH179" s="48"/>
      <c r="AI179" s="48"/>
      <c r="AJ179" s="44"/>
      <c r="AK179" s="44"/>
      <c r="AL179" s="44"/>
    </row>
    <row r="180" spans="1:38" x14ac:dyDescent="0.25">
      <c r="A180" s="94"/>
      <c r="B180" s="265" t="s">
        <v>1029</v>
      </c>
      <c r="C180" s="266" t="s">
        <v>1192</v>
      </c>
      <c r="D180" s="265" t="s">
        <v>40</v>
      </c>
      <c r="E180" s="265" t="s">
        <v>1193</v>
      </c>
      <c r="F180" s="267" t="s">
        <v>41</v>
      </c>
      <c r="G180" s="277">
        <v>528.80999999999995</v>
      </c>
      <c r="H180" s="268">
        <f>I180+K180</f>
        <v>10.71</v>
      </c>
      <c r="I180" s="287">
        <v>5.22</v>
      </c>
      <c r="J180" s="268">
        <f>I180*(1+$M$9)</f>
        <v>6.62</v>
      </c>
      <c r="K180" s="292">
        <v>5.49</v>
      </c>
      <c r="L180" s="268">
        <f>K180*(1+$M$9)</f>
        <v>6.97</v>
      </c>
      <c r="M180" s="268">
        <f>L180+J180</f>
        <v>13.59</v>
      </c>
      <c r="N180" s="268">
        <f>J180*G180</f>
        <v>3500.72</v>
      </c>
      <c r="O180" s="268">
        <f>L180*G180</f>
        <v>3685.81</v>
      </c>
      <c r="P180" s="268">
        <f>O180+N180</f>
        <v>7186.53</v>
      </c>
      <c r="Q180" s="269">
        <f>P180/$O$485</f>
        <v>2.8E-3</v>
      </c>
      <c r="R180" s="44"/>
      <c r="S180" s="49">
        <f t="shared" si="61"/>
        <v>5663.56</v>
      </c>
      <c r="T180" s="85"/>
      <c r="U180" s="48"/>
      <c r="V180" s="48"/>
      <c r="W180" s="48"/>
      <c r="X180" s="48"/>
      <c r="Y180" s="48"/>
      <c r="Z180" s="48"/>
      <c r="AA180" s="48"/>
      <c r="AB180" s="48"/>
      <c r="AC180" s="48"/>
      <c r="AD180" s="48"/>
      <c r="AE180" s="48"/>
      <c r="AF180" s="48"/>
      <c r="AG180" s="48"/>
      <c r="AH180" s="48"/>
      <c r="AI180" s="48"/>
      <c r="AJ180" s="44"/>
      <c r="AK180" s="44"/>
      <c r="AL180" s="44"/>
    </row>
    <row r="181" spans="1:38" x14ac:dyDescent="0.25">
      <c r="A181" s="94"/>
      <c r="B181" s="261" t="s">
        <v>1354</v>
      </c>
      <c r="C181" s="261"/>
      <c r="D181" s="261"/>
      <c r="E181" s="261" t="s">
        <v>245</v>
      </c>
      <c r="F181" s="261"/>
      <c r="G181" s="276"/>
      <c r="H181" s="262"/>
      <c r="I181" s="286"/>
      <c r="J181" s="261"/>
      <c r="K181" s="291"/>
      <c r="L181" s="261"/>
      <c r="M181" s="261"/>
      <c r="N181" s="261"/>
      <c r="O181" s="261"/>
      <c r="P181" s="263"/>
      <c r="Q181" s="263"/>
      <c r="R181" s="44"/>
      <c r="S181" s="49">
        <f t="shared" si="61"/>
        <v>0</v>
      </c>
      <c r="T181" s="85"/>
      <c r="U181" s="48"/>
      <c r="V181" s="48"/>
      <c r="W181" s="48"/>
      <c r="X181" s="48"/>
      <c r="Y181" s="48"/>
      <c r="Z181" s="48"/>
      <c r="AA181" s="48"/>
      <c r="AB181" s="48"/>
      <c r="AC181" s="48"/>
      <c r="AD181" s="48"/>
      <c r="AE181" s="48"/>
      <c r="AF181" s="48"/>
      <c r="AG181" s="48"/>
      <c r="AH181" s="48"/>
      <c r="AI181" s="48"/>
      <c r="AJ181" s="44"/>
      <c r="AK181" s="44"/>
      <c r="AL181" s="44"/>
    </row>
    <row r="182" spans="1:38" x14ac:dyDescent="0.25">
      <c r="A182" s="94"/>
      <c r="B182" s="265" t="s">
        <v>1355</v>
      </c>
      <c r="C182" s="266" t="s">
        <v>1356</v>
      </c>
      <c r="D182" s="265" t="s">
        <v>40</v>
      </c>
      <c r="E182" s="265" t="s">
        <v>1357</v>
      </c>
      <c r="F182" s="267" t="s">
        <v>41</v>
      </c>
      <c r="G182" s="277">
        <v>61.69</v>
      </c>
      <c r="H182" s="268">
        <f>I182+K182</f>
        <v>21.19</v>
      </c>
      <c r="I182" s="287">
        <v>5.15</v>
      </c>
      <c r="J182" s="268">
        <f>I182*(1+$M$9)</f>
        <v>6.53</v>
      </c>
      <c r="K182" s="292">
        <v>16.04</v>
      </c>
      <c r="L182" s="268">
        <f>K182*(1+$M$9)</f>
        <v>20.350000000000001</v>
      </c>
      <c r="M182" s="268">
        <f>L182+J182</f>
        <v>26.88</v>
      </c>
      <c r="N182" s="268">
        <f>J182*G182</f>
        <v>402.84</v>
      </c>
      <c r="O182" s="268">
        <f>L182*G182</f>
        <v>1255.3900000000001</v>
      </c>
      <c r="P182" s="268">
        <f>O182+N182</f>
        <v>1658.23</v>
      </c>
      <c r="Q182" s="269">
        <f>P182/$O$485</f>
        <v>6.9999999999999999E-4</v>
      </c>
      <c r="R182" s="44"/>
      <c r="S182" s="49">
        <f t="shared" si="61"/>
        <v>1307.21</v>
      </c>
      <c r="T182" s="85"/>
      <c r="U182" s="48"/>
      <c r="V182" s="48"/>
      <c r="W182" s="48"/>
      <c r="X182" s="48"/>
      <c r="Y182" s="48"/>
      <c r="Z182" s="48"/>
      <c r="AA182" s="48"/>
      <c r="AB182" s="48"/>
      <c r="AC182" s="48"/>
      <c r="AD182" s="48"/>
      <c r="AE182" s="48"/>
      <c r="AF182" s="48"/>
      <c r="AG182" s="48"/>
      <c r="AH182" s="48"/>
      <c r="AI182" s="48"/>
      <c r="AJ182" s="44"/>
      <c r="AK182" s="44"/>
      <c r="AL182" s="44"/>
    </row>
    <row r="183" spans="1:38" ht="27.6" customHeight="1" x14ac:dyDescent="0.25">
      <c r="A183" s="94"/>
      <c r="B183" s="265" t="s">
        <v>1358</v>
      </c>
      <c r="C183" s="266">
        <v>102219</v>
      </c>
      <c r="D183" s="265" t="s">
        <v>40</v>
      </c>
      <c r="E183" s="265" t="s">
        <v>1359</v>
      </c>
      <c r="F183" s="267" t="s">
        <v>41</v>
      </c>
      <c r="G183" s="277">
        <v>61.69</v>
      </c>
      <c r="H183" s="268">
        <f>I183+K183</f>
        <v>16.489999999999998</v>
      </c>
      <c r="I183" s="287">
        <v>7</v>
      </c>
      <c r="J183" s="268">
        <f>I183*(1+$M$9)</f>
        <v>8.8800000000000008</v>
      </c>
      <c r="K183" s="292">
        <v>9.49</v>
      </c>
      <c r="L183" s="268">
        <f>K183*(1+$M$9)</f>
        <v>12.04</v>
      </c>
      <c r="M183" s="268">
        <f>L183+J183</f>
        <v>20.92</v>
      </c>
      <c r="N183" s="268">
        <f>J183*G183</f>
        <v>547.80999999999995</v>
      </c>
      <c r="O183" s="268">
        <f>L183*G183</f>
        <v>742.75</v>
      </c>
      <c r="P183" s="268">
        <f>O183+N183</f>
        <v>1290.56</v>
      </c>
      <c r="Q183" s="269">
        <f>P183/$O$485</f>
        <v>5.0000000000000001E-4</v>
      </c>
      <c r="R183" s="44"/>
      <c r="S183" s="49">
        <f t="shared" si="61"/>
        <v>1017.27</v>
      </c>
      <c r="T183" s="85"/>
      <c r="U183" s="48"/>
      <c r="V183" s="48"/>
      <c r="W183" s="48"/>
      <c r="X183" s="48"/>
      <c r="Y183" s="48"/>
      <c r="Z183" s="48"/>
      <c r="AA183" s="48"/>
      <c r="AB183" s="48"/>
      <c r="AC183" s="48"/>
      <c r="AD183" s="48"/>
      <c r="AE183" s="48"/>
      <c r="AF183" s="48"/>
      <c r="AG183" s="48"/>
      <c r="AH183" s="48"/>
      <c r="AI183" s="48"/>
      <c r="AJ183" s="44"/>
      <c r="AK183" s="44"/>
      <c r="AL183" s="44"/>
    </row>
    <row r="184" spans="1:38" x14ac:dyDescent="0.25">
      <c r="A184" s="94"/>
      <c r="B184" s="261">
        <v>13</v>
      </c>
      <c r="C184" s="261"/>
      <c r="D184" s="261"/>
      <c r="E184" s="261" t="s">
        <v>575</v>
      </c>
      <c r="F184" s="261"/>
      <c r="G184" s="276"/>
      <c r="H184" s="262"/>
      <c r="I184" s="286"/>
      <c r="J184" s="261"/>
      <c r="K184" s="291"/>
      <c r="L184" s="261"/>
      <c r="M184" s="261"/>
      <c r="N184" s="261"/>
      <c r="O184" s="261"/>
      <c r="P184" s="263"/>
      <c r="Q184" s="263"/>
      <c r="R184" s="44"/>
      <c r="S184" s="49">
        <f t="shared" si="61"/>
        <v>0</v>
      </c>
      <c r="T184" s="85"/>
      <c r="U184" s="48"/>
      <c r="V184" s="48"/>
      <c r="W184" s="48"/>
      <c r="X184" s="48"/>
      <c r="Y184" s="48"/>
      <c r="Z184" s="48"/>
      <c r="AA184" s="48"/>
      <c r="AB184" s="48"/>
      <c r="AC184" s="48"/>
      <c r="AD184" s="48"/>
      <c r="AE184" s="48"/>
      <c r="AF184" s="48"/>
      <c r="AG184" s="48"/>
      <c r="AH184" s="48"/>
      <c r="AI184" s="48"/>
      <c r="AJ184" s="44"/>
      <c r="AK184" s="44"/>
      <c r="AL184" s="44"/>
    </row>
    <row r="185" spans="1:38" x14ac:dyDescent="0.25">
      <c r="A185" s="94"/>
      <c r="B185" s="265" t="s">
        <v>246</v>
      </c>
      <c r="C185" s="266" t="s">
        <v>243</v>
      </c>
      <c r="D185" s="265" t="s">
        <v>146</v>
      </c>
      <c r="E185" s="265" t="s">
        <v>244</v>
      </c>
      <c r="F185" s="267" t="s">
        <v>41</v>
      </c>
      <c r="G185" s="277">
        <v>19.8</v>
      </c>
      <c r="H185" s="268">
        <v>664.43</v>
      </c>
      <c r="I185" s="287">
        <f>2.47+4.45+12.43+15.56</f>
        <v>34.909999999999997</v>
      </c>
      <c r="J185" s="268">
        <f>I185*(1+$M$9)</f>
        <v>44.29</v>
      </c>
      <c r="K185" s="292">
        <f>H185-I185</f>
        <v>629.52</v>
      </c>
      <c r="L185" s="268">
        <f>K185*(1+$M$9)</f>
        <v>798.67</v>
      </c>
      <c r="M185" s="268">
        <f>L185+J185</f>
        <v>842.96</v>
      </c>
      <c r="N185" s="268">
        <f>J185*G185</f>
        <v>876.94</v>
      </c>
      <c r="O185" s="268">
        <f>L185*G185</f>
        <v>15813.67</v>
      </c>
      <c r="P185" s="268">
        <f>O185+N185</f>
        <v>16690.61</v>
      </c>
      <c r="Q185" s="269">
        <f>P185/$O$485</f>
        <v>6.6E-3</v>
      </c>
      <c r="R185" s="44"/>
      <c r="S185" s="49">
        <f t="shared" si="61"/>
        <v>13155.71</v>
      </c>
      <c r="T185" s="126"/>
      <c r="U185" s="48"/>
      <c r="V185" s="48"/>
      <c r="W185" s="48"/>
      <c r="X185" s="48"/>
      <c r="Y185" s="48"/>
      <c r="Z185" s="48"/>
      <c r="AA185" s="48"/>
      <c r="AB185" s="48"/>
      <c r="AC185" s="48"/>
      <c r="AD185" s="48"/>
      <c r="AE185" s="48"/>
      <c r="AF185" s="48"/>
      <c r="AG185" s="48"/>
      <c r="AH185" s="48"/>
      <c r="AI185" s="48"/>
      <c r="AJ185" s="44"/>
      <c r="AK185" s="44"/>
      <c r="AL185" s="44"/>
    </row>
    <row r="186" spans="1:38" x14ac:dyDescent="0.25">
      <c r="A186" s="94"/>
      <c r="B186" s="261">
        <v>14</v>
      </c>
      <c r="C186" s="261"/>
      <c r="D186" s="261"/>
      <c r="E186" s="261" t="s">
        <v>576</v>
      </c>
      <c r="F186" s="261"/>
      <c r="G186" s="276"/>
      <c r="H186" s="262"/>
      <c r="I186" s="286"/>
      <c r="J186" s="261"/>
      <c r="K186" s="291"/>
      <c r="L186" s="261"/>
      <c r="M186" s="261"/>
      <c r="N186" s="261"/>
      <c r="O186" s="261"/>
      <c r="P186" s="263"/>
      <c r="Q186" s="263"/>
      <c r="R186" s="44"/>
      <c r="S186" s="49">
        <f t="shared" si="61"/>
        <v>0</v>
      </c>
      <c r="T186" s="126"/>
      <c r="U186" s="48"/>
      <c r="V186" s="48"/>
      <c r="W186" s="48"/>
      <c r="X186" s="48"/>
      <c r="Y186" s="48"/>
      <c r="Z186" s="48"/>
      <c r="AA186" s="48"/>
      <c r="AB186" s="48"/>
      <c r="AC186" s="48"/>
      <c r="AD186" s="48"/>
      <c r="AE186" s="48"/>
      <c r="AF186" s="48"/>
      <c r="AG186" s="48"/>
      <c r="AH186" s="48"/>
      <c r="AI186" s="48"/>
      <c r="AJ186" s="44"/>
      <c r="AK186" s="44"/>
      <c r="AL186" s="44"/>
    </row>
    <row r="187" spans="1:38" x14ac:dyDescent="0.25">
      <c r="A187" s="94"/>
      <c r="B187" s="261" t="s">
        <v>251</v>
      </c>
      <c r="C187" s="261"/>
      <c r="D187" s="261"/>
      <c r="E187" s="261" t="s">
        <v>577</v>
      </c>
      <c r="F187" s="261"/>
      <c r="G187" s="276"/>
      <c r="H187" s="262"/>
      <c r="I187" s="286"/>
      <c r="J187" s="261"/>
      <c r="K187" s="291"/>
      <c r="L187" s="261"/>
      <c r="M187" s="261"/>
      <c r="N187" s="261"/>
      <c r="O187" s="261"/>
      <c r="P187" s="263"/>
      <c r="Q187" s="263"/>
      <c r="R187" s="44"/>
      <c r="S187" s="49">
        <f t="shared" si="61"/>
        <v>0</v>
      </c>
      <c r="T187" s="126"/>
      <c r="U187" s="48"/>
      <c r="V187" s="48"/>
      <c r="W187" s="48"/>
      <c r="X187" s="48"/>
      <c r="Y187" s="48"/>
      <c r="Z187" s="48"/>
      <c r="AA187" s="48"/>
      <c r="AB187" s="48"/>
      <c r="AC187" s="48"/>
      <c r="AD187" s="48"/>
      <c r="AE187" s="48"/>
      <c r="AF187" s="48"/>
      <c r="AG187" s="48"/>
      <c r="AH187" s="48"/>
      <c r="AI187" s="48"/>
      <c r="AJ187" s="44"/>
      <c r="AK187" s="44"/>
      <c r="AL187" s="44"/>
    </row>
    <row r="188" spans="1:38" ht="27.6" customHeight="1" x14ac:dyDescent="0.25">
      <c r="A188" s="94"/>
      <c r="B188" s="265" t="s">
        <v>1030</v>
      </c>
      <c r="C188" s="266" t="s">
        <v>254</v>
      </c>
      <c r="D188" s="265" t="s">
        <v>40</v>
      </c>
      <c r="E188" s="265" t="s">
        <v>1031</v>
      </c>
      <c r="F188" s="267" t="s">
        <v>44</v>
      </c>
      <c r="G188" s="277">
        <v>3</v>
      </c>
      <c r="H188" s="268">
        <f>I188+K188</f>
        <v>109.86</v>
      </c>
      <c r="I188" s="287">
        <v>10.18</v>
      </c>
      <c r="J188" s="268">
        <f>I188*(1+$M$9)</f>
        <v>12.92</v>
      </c>
      <c r="K188" s="292">
        <v>99.68</v>
      </c>
      <c r="L188" s="268">
        <f>K188*(1+$M$9)</f>
        <v>126.46</v>
      </c>
      <c r="M188" s="268">
        <f>L188+J188</f>
        <v>139.38</v>
      </c>
      <c r="N188" s="268">
        <f>J188*G188</f>
        <v>38.76</v>
      </c>
      <c r="O188" s="268">
        <f>L188*G188</f>
        <v>379.38</v>
      </c>
      <c r="P188" s="268">
        <f>O188+N188</f>
        <v>418.14</v>
      </c>
      <c r="Q188" s="269">
        <f>P188/$O$485</f>
        <v>2.0000000000000001E-4</v>
      </c>
      <c r="R188" s="44"/>
      <c r="S188" s="49">
        <f t="shared" si="61"/>
        <v>329.58</v>
      </c>
      <c r="T188" s="126"/>
      <c r="U188" s="48"/>
      <c r="V188" s="48"/>
      <c r="W188" s="48"/>
      <c r="X188" s="48"/>
      <c r="Y188" s="48"/>
      <c r="Z188" s="48"/>
      <c r="AA188" s="48"/>
      <c r="AB188" s="48"/>
      <c r="AC188" s="48"/>
      <c r="AD188" s="48"/>
      <c r="AE188" s="48"/>
      <c r="AF188" s="48"/>
      <c r="AG188" s="48"/>
      <c r="AH188" s="48"/>
      <c r="AI188" s="48"/>
      <c r="AJ188" s="44"/>
      <c r="AK188" s="44"/>
      <c r="AL188" s="44"/>
    </row>
    <row r="189" spans="1:38" x14ac:dyDescent="0.25">
      <c r="A189" s="94"/>
      <c r="B189" s="261" t="s">
        <v>866</v>
      </c>
      <c r="C189" s="261"/>
      <c r="D189" s="261"/>
      <c r="E189" s="261" t="s">
        <v>582</v>
      </c>
      <c r="F189" s="261"/>
      <c r="G189" s="276"/>
      <c r="H189" s="262"/>
      <c r="I189" s="286"/>
      <c r="J189" s="261"/>
      <c r="K189" s="291"/>
      <c r="L189" s="261"/>
      <c r="M189" s="261"/>
      <c r="N189" s="261"/>
      <c r="O189" s="261"/>
      <c r="P189" s="263"/>
      <c r="Q189" s="263"/>
      <c r="R189" s="44"/>
      <c r="S189" s="49">
        <f t="shared" si="61"/>
        <v>0</v>
      </c>
      <c r="T189" s="126"/>
      <c r="U189" s="48"/>
      <c r="V189" s="48"/>
      <c r="W189" s="48"/>
      <c r="X189" s="48"/>
      <c r="Y189" s="48"/>
      <c r="Z189" s="48"/>
      <c r="AA189" s="48"/>
      <c r="AB189" s="48"/>
      <c r="AC189" s="48"/>
      <c r="AD189" s="48"/>
      <c r="AE189" s="48"/>
      <c r="AF189" s="48"/>
      <c r="AG189" s="48"/>
      <c r="AH189" s="48"/>
      <c r="AI189" s="48"/>
      <c r="AJ189" s="44"/>
      <c r="AK189" s="44"/>
      <c r="AL189" s="44"/>
    </row>
    <row r="190" spans="1:38" ht="27.6" x14ac:dyDescent="0.25">
      <c r="A190" s="94"/>
      <c r="B190" s="265" t="s">
        <v>1032</v>
      </c>
      <c r="C190" s="266" t="s">
        <v>252</v>
      </c>
      <c r="D190" s="265" t="s">
        <v>40</v>
      </c>
      <c r="E190" s="265" t="s">
        <v>253</v>
      </c>
      <c r="F190" s="267" t="s">
        <v>44</v>
      </c>
      <c r="G190" s="277">
        <v>7</v>
      </c>
      <c r="H190" s="268">
        <f>I190+K190</f>
        <v>547.1</v>
      </c>
      <c r="I190" s="287">
        <v>23.92</v>
      </c>
      <c r="J190" s="268">
        <f t="shared" ref="J190:J196" si="62">I190*(1+$M$9)</f>
        <v>30.35</v>
      </c>
      <c r="K190" s="292">
        <v>523.17999999999995</v>
      </c>
      <c r="L190" s="268">
        <f t="shared" ref="L190:L196" si="63">K190*(1+$M$9)</f>
        <v>663.76</v>
      </c>
      <c r="M190" s="268">
        <f t="shared" ref="M190:M196" si="64">L190+J190</f>
        <v>694.11</v>
      </c>
      <c r="N190" s="268">
        <f t="shared" ref="N190:N196" si="65">J190*G190</f>
        <v>212.45</v>
      </c>
      <c r="O190" s="268">
        <f t="shared" ref="O190:O196" si="66">L190*G190</f>
        <v>4646.32</v>
      </c>
      <c r="P190" s="268">
        <f t="shared" ref="P190:P196" si="67">O190+N190</f>
        <v>4858.7700000000004</v>
      </c>
      <c r="Q190" s="269">
        <f t="shared" ref="Q190:Q196" si="68">P190/$O$485</f>
        <v>1.9E-3</v>
      </c>
      <c r="R190" s="44"/>
      <c r="S190" s="49">
        <f t="shared" si="61"/>
        <v>3829.7</v>
      </c>
      <c r="T190" s="126"/>
      <c r="U190" s="48"/>
      <c r="V190" s="48"/>
      <c r="W190" s="48"/>
      <c r="X190" s="48"/>
      <c r="Y190" s="48"/>
      <c r="Z190" s="48"/>
      <c r="AA190" s="48"/>
      <c r="AB190" s="48"/>
      <c r="AC190" s="48"/>
      <c r="AD190" s="48"/>
      <c r="AE190" s="48"/>
      <c r="AF190" s="48"/>
      <c r="AG190" s="48"/>
      <c r="AH190" s="48"/>
      <c r="AI190" s="48"/>
      <c r="AJ190" s="44"/>
      <c r="AK190" s="44"/>
      <c r="AL190" s="44"/>
    </row>
    <row r="191" spans="1:38" x14ac:dyDescent="0.25">
      <c r="A191" s="94"/>
      <c r="B191" s="265" t="s">
        <v>1033</v>
      </c>
      <c r="C191" s="266" t="s">
        <v>832</v>
      </c>
      <c r="D191" s="265" t="s">
        <v>199</v>
      </c>
      <c r="E191" s="265" t="s">
        <v>1034</v>
      </c>
      <c r="F191" s="267" t="s">
        <v>168</v>
      </c>
      <c r="G191" s="277">
        <v>1</v>
      </c>
      <c r="H191" s="268">
        <v>1064.22</v>
      </c>
      <c r="I191" s="287">
        <f>37.14+27.08</f>
        <v>64.22</v>
      </c>
      <c r="J191" s="268">
        <f t="shared" si="62"/>
        <v>81.48</v>
      </c>
      <c r="K191" s="292">
        <f>H191-I191</f>
        <v>1000</v>
      </c>
      <c r="L191" s="268">
        <f t="shared" si="63"/>
        <v>1268.7</v>
      </c>
      <c r="M191" s="268">
        <f t="shared" si="64"/>
        <v>1350.18</v>
      </c>
      <c r="N191" s="268">
        <f t="shared" si="65"/>
        <v>81.48</v>
      </c>
      <c r="O191" s="268">
        <f t="shared" si="66"/>
        <v>1268.7</v>
      </c>
      <c r="P191" s="268">
        <f t="shared" si="67"/>
        <v>1350.18</v>
      </c>
      <c r="Q191" s="269">
        <f t="shared" si="68"/>
        <v>5.0000000000000001E-4</v>
      </c>
      <c r="R191" s="44"/>
      <c r="S191" s="49">
        <f t="shared" si="61"/>
        <v>1064.22</v>
      </c>
      <c r="T191" s="126"/>
      <c r="U191" s="48"/>
      <c r="V191" s="48"/>
      <c r="W191" s="48"/>
      <c r="X191" s="48"/>
      <c r="Y191" s="48"/>
      <c r="Z191" s="48"/>
      <c r="AA191" s="48"/>
      <c r="AB191" s="48"/>
      <c r="AC191" s="48"/>
      <c r="AD191" s="48"/>
      <c r="AE191" s="48"/>
      <c r="AF191" s="48"/>
      <c r="AG191" s="48"/>
      <c r="AH191" s="48"/>
      <c r="AI191" s="48"/>
      <c r="AJ191" s="44"/>
      <c r="AK191" s="44"/>
      <c r="AL191" s="44"/>
    </row>
    <row r="192" spans="1:38" ht="41.4" x14ac:dyDescent="0.25">
      <c r="A192" s="94"/>
      <c r="B192" s="265" t="s">
        <v>1035</v>
      </c>
      <c r="C192" s="266" t="s">
        <v>833</v>
      </c>
      <c r="D192" s="265" t="s">
        <v>40</v>
      </c>
      <c r="E192" s="265" t="s">
        <v>834</v>
      </c>
      <c r="F192" s="267" t="s">
        <v>44</v>
      </c>
      <c r="G192" s="277">
        <v>15</v>
      </c>
      <c r="H192" s="268">
        <f>I192+K192</f>
        <v>439.85</v>
      </c>
      <c r="I192" s="287">
        <v>32.729999999999997</v>
      </c>
      <c r="J192" s="268">
        <f t="shared" si="62"/>
        <v>41.52</v>
      </c>
      <c r="K192" s="292">
        <v>407.12</v>
      </c>
      <c r="L192" s="268">
        <f t="shared" si="63"/>
        <v>516.51</v>
      </c>
      <c r="M192" s="268">
        <f t="shared" si="64"/>
        <v>558.03</v>
      </c>
      <c r="N192" s="268">
        <f t="shared" si="65"/>
        <v>622.79999999999995</v>
      </c>
      <c r="O192" s="268">
        <f t="shared" si="66"/>
        <v>7747.65</v>
      </c>
      <c r="P192" s="268">
        <f t="shared" si="67"/>
        <v>8370.4500000000007</v>
      </c>
      <c r="Q192" s="269">
        <f t="shared" si="68"/>
        <v>3.3E-3</v>
      </c>
      <c r="R192" s="44"/>
      <c r="S192" s="49">
        <f t="shared" si="61"/>
        <v>6597.75</v>
      </c>
      <c r="T192" s="126"/>
      <c r="U192" s="48"/>
      <c r="V192" s="48"/>
      <c r="W192" s="48"/>
      <c r="X192" s="48"/>
      <c r="Y192" s="48"/>
      <c r="Z192" s="48"/>
      <c r="AA192" s="48"/>
      <c r="AB192" s="48"/>
      <c r="AC192" s="48"/>
      <c r="AD192" s="48"/>
      <c r="AE192" s="48"/>
      <c r="AF192" s="48"/>
      <c r="AG192" s="48"/>
      <c r="AH192" s="48"/>
      <c r="AI192" s="48"/>
      <c r="AJ192" s="44"/>
      <c r="AK192" s="44"/>
      <c r="AL192" s="44"/>
    </row>
    <row r="193" spans="1:38" ht="41.4" x14ac:dyDescent="0.25">
      <c r="A193" s="94"/>
      <c r="B193" s="265" t="s">
        <v>1036</v>
      </c>
      <c r="C193" s="266" t="s">
        <v>255</v>
      </c>
      <c r="D193" s="265" t="s">
        <v>40</v>
      </c>
      <c r="E193" s="265" t="s">
        <v>256</v>
      </c>
      <c r="F193" s="267" t="s">
        <v>44</v>
      </c>
      <c r="G193" s="277">
        <v>1</v>
      </c>
      <c r="H193" s="268">
        <f>I193+K193</f>
        <v>922.35</v>
      </c>
      <c r="I193" s="287">
        <v>51.86</v>
      </c>
      <c r="J193" s="268">
        <f t="shared" si="62"/>
        <v>65.790000000000006</v>
      </c>
      <c r="K193" s="292">
        <v>870.49</v>
      </c>
      <c r="L193" s="268">
        <f t="shared" si="63"/>
        <v>1104.3900000000001</v>
      </c>
      <c r="M193" s="268">
        <f t="shared" si="64"/>
        <v>1170.18</v>
      </c>
      <c r="N193" s="268">
        <f t="shared" si="65"/>
        <v>65.790000000000006</v>
      </c>
      <c r="O193" s="268">
        <f t="shared" si="66"/>
        <v>1104.3900000000001</v>
      </c>
      <c r="P193" s="268">
        <f t="shared" si="67"/>
        <v>1170.18</v>
      </c>
      <c r="Q193" s="269">
        <f t="shared" si="68"/>
        <v>5.0000000000000001E-4</v>
      </c>
      <c r="R193" s="44"/>
      <c r="S193" s="49">
        <f t="shared" si="61"/>
        <v>922.35</v>
      </c>
      <c r="T193" s="126"/>
      <c r="U193" s="48"/>
      <c r="V193" s="48"/>
      <c r="W193" s="48"/>
      <c r="X193" s="48"/>
      <c r="Y193" s="48"/>
      <c r="Z193" s="48"/>
      <c r="AA193" s="48"/>
      <c r="AB193" s="48"/>
      <c r="AC193" s="48"/>
      <c r="AD193" s="48"/>
      <c r="AE193" s="48"/>
      <c r="AF193" s="48"/>
      <c r="AG193" s="48"/>
      <c r="AH193" s="48"/>
      <c r="AI193" s="48"/>
      <c r="AJ193" s="44"/>
      <c r="AK193" s="44"/>
      <c r="AL193" s="44"/>
    </row>
    <row r="194" spans="1:38" ht="27.6" x14ac:dyDescent="0.25">
      <c r="A194" s="94"/>
      <c r="B194" s="265" t="s">
        <v>1037</v>
      </c>
      <c r="C194" s="266" t="s">
        <v>583</v>
      </c>
      <c r="D194" s="265" t="s">
        <v>584</v>
      </c>
      <c r="E194" s="265" t="s">
        <v>762</v>
      </c>
      <c r="F194" s="267" t="s">
        <v>585</v>
      </c>
      <c r="G194" s="277">
        <v>1</v>
      </c>
      <c r="H194" s="268">
        <v>553.70000000000005</v>
      </c>
      <c r="I194" s="287">
        <v>93.28</v>
      </c>
      <c r="J194" s="268">
        <f t="shared" si="62"/>
        <v>118.34</v>
      </c>
      <c r="K194" s="292">
        <f>H194-I194</f>
        <v>460.42</v>
      </c>
      <c r="L194" s="268">
        <f t="shared" si="63"/>
        <v>584.13</v>
      </c>
      <c r="M194" s="268">
        <f t="shared" si="64"/>
        <v>702.47</v>
      </c>
      <c r="N194" s="268">
        <f t="shared" si="65"/>
        <v>118.34</v>
      </c>
      <c r="O194" s="268">
        <f t="shared" si="66"/>
        <v>584.13</v>
      </c>
      <c r="P194" s="268">
        <f t="shared" si="67"/>
        <v>702.47</v>
      </c>
      <c r="Q194" s="269">
        <f t="shared" si="68"/>
        <v>2.9999999999999997E-4</v>
      </c>
      <c r="R194" s="44"/>
      <c r="S194" s="49">
        <f t="shared" si="61"/>
        <v>553.70000000000005</v>
      </c>
      <c r="T194" s="126"/>
      <c r="U194" s="48"/>
      <c r="V194" s="48"/>
      <c r="W194" s="48"/>
      <c r="X194" s="48"/>
      <c r="Y194" s="48"/>
      <c r="Z194" s="48"/>
      <c r="AA194" s="48"/>
      <c r="AB194" s="48"/>
      <c r="AC194" s="48"/>
      <c r="AD194" s="48"/>
      <c r="AE194" s="48"/>
      <c r="AF194" s="48"/>
      <c r="AG194" s="48"/>
      <c r="AH194" s="48"/>
      <c r="AI194" s="48"/>
      <c r="AJ194" s="44"/>
      <c r="AK194" s="44"/>
      <c r="AL194" s="44"/>
    </row>
    <row r="195" spans="1:38" ht="27.6" x14ac:dyDescent="0.25">
      <c r="A195" s="94"/>
      <c r="B195" s="265" t="s">
        <v>1038</v>
      </c>
      <c r="C195" s="266" t="s">
        <v>962</v>
      </c>
      <c r="D195" s="265" t="s">
        <v>40</v>
      </c>
      <c r="E195" s="265" t="s">
        <v>963</v>
      </c>
      <c r="F195" s="267" t="s">
        <v>44</v>
      </c>
      <c r="G195" s="277">
        <v>3</v>
      </c>
      <c r="H195" s="268">
        <f>I195+K195</f>
        <v>241.43</v>
      </c>
      <c r="I195" s="287">
        <v>25.12</v>
      </c>
      <c r="J195" s="268">
        <f t="shared" si="62"/>
        <v>31.87</v>
      </c>
      <c r="K195" s="292">
        <v>216.31</v>
      </c>
      <c r="L195" s="268">
        <f t="shared" si="63"/>
        <v>274.43</v>
      </c>
      <c r="M195" s="268">
        <f t="shared" si="64"/>
        <v>306.3</v>
      </c>
      <c r="N195" s="268">
        <f t="shared" si="65"/>
        <v>95.61</v>
      </c>
      <c r="O195" s="268">
        <f t="shared" si="66"/>
        <v>823.29</v>
      </c>
      <c r="P195" s="268">
        <f t="shared" si="67"/>
        <v>918.9</v>
      </c>
      <c r="Q195" s="269">
        <f t="shared" si="68"/>
        <v>4.0000000000000002E-4</v>
      </c>
      <c r="R195" s="44"/>
      <c r="S195" s="49">
        <f t="shared" si="61"/>
        <v>724.29</v>
      </c>
      <c r="T195" s="85"/>
      <c r="U195" s="48"/>
      <c r="V195" s="48"/>
      <c r="W195" s="48"/>
      <c r="X195" s="48"/>
      <c r="Y195" s="48"/>
      <c r="Z195" s="48"/>
      <c r="AA195" s="48"/>
      <c r="AB195" s="48"/>
      <c r="AC195" s="48"/>
      <c r="AD195" s="48"/>
      <c r="AE195" s="48"/>
      <c r="AF195" s="48"/>
      <c r="AG195" s="48"/>
      <c r="AH195" s="48"/>
      <c r="AI195" s="48"/>
      <c r="AJ195" s="44"/>
      <c r="AK195" s="44"/>
      <c r="AL195" s="44"/>
    </row>
    <row r="196" spans="1:38" x14ac:dyDescent="0.25">
      <c r="A196" s="94"/>
      <c r="B196" s="265" t="s">
        <v>1039</v>
      </c>
      <c r="C196" s="266" t="s">
        <v>964</v>
      </c>
      <c r="D196" s="265" t="s">
        <v>199</v>
      </c>
      <c r="E196" s="265" t="s">
        <v>965</v>
      </c>
      <c r="F196" s="267" t="s">
        <v>168</v>
      </c>
      <c r="G196" s="277">
        <v>8</v>
      </c>
      <c r="H196" s="268">
        <v>123.36</v>
      </c>
      <c r="I196" s="287">
        <f>9.29+13.54</f>
        <v>22.83</v>
      </c>
      <c r="J196" s="268">
        <f t="shared" si="62"/>
        <v>28.96</v>
      </c>
      <c r="K196" s="292">
        <f>H196-I196</f>
        <v>100.53</v>
      </c>
      <c r="L196" s="268">
        <f t="shared" si="63"/>
        <v>127.54</v>
      </c>
      <c r="M196" s="268">
        <f t="shared" si="64"/>
        <v>156.5</v>
      </c>
      <c r="N196" s="268">
        <f t="shared" si="65"/>
        <v>231.68</v>
      </c>
      <c r="O196" s="268">
        <f t="shared" si="66"/>
        <v>1020.32</v>
      </c>
      <c r="P196" s="268">
        <f t="shared" si="67"/>
        <v>1252</v>
      </c>
      <c r="Q196" s="269">
        <f t="shared" si="68"/>
        <v>5.0000000000000001E-4</v>
      </c>
      <c r="R196" s="44"/>
      <c r="S196" s="49">
        <f t="shared" si="61"/>
        <v>986.88</v>
      </c>
      <c r="T196" s="85"/>
      <c r="U196" s="48"/>
      <c r="V196" s="48"/>
      <c r="W196" s="48"/>
      <c r="X196" s="48"/>
      <c r="Y196" s="48"/>
      <c r="Z196" s="48"/>
      <c r="AA196" s="48"/>
      <c r="AB196" s="48"/>
      <c r="AC196" s="48"/>
      <c r="AD196" s="48"/>
      <c r="AE196" s="48"/>
      <c r="AF196" s="48"/>
      <c r="AG196" s="48"/>
      <c r="AH196" s="48"/>
      <c r="AI196" s="48"/>
      <c r="AJ196" s="44"/>
      <c r="AK196" s="44"/>
      <c r="AL196" s="44"/>
    </row>
    <row r="197" spans="1:38" x14ac:dyDescent="0.25">
      <c r="A197" s="94"/>
      <c r="B197" s="261" t="s">
        <v>1040</v>
      </c>
      <c r="C197" s="261"/>
      <c r="D197" s="261"/>
      <c r="E197" s="261" t="s">
        <v>835</v>
      </c>
      <c r="F197" s="261"/>
      <c r="G197" s="276"/>
      <c r="H197" s="262"/>
      <c r="I197" s="286"/>
      <c r="J197" s="261"/>
      <c r="K197" s="291"/>
      <c r="L197" s="261"/>
      <c r="M197" s="261"/>
      <c r="N197" s="261"/>
      <c r="O197" s="261"/>
      <c r="P197" s="263"/>
      <c r="Q197" s="263"/>
      <c r="R197" s="44"/>
      <c r="S197" s="49">
        <f t="shared" si="61"/>
        <v>0</v>
      </c>
      <c r="T197" s="85"/>
      <c r="U197" s="48"/>
      <c r="V197" s="48"/>
      <c r="W197" s="48"/>
      <c r="X197" s="48"/>
      <c r="Y197" s="48"/>
      <c r="Z197" s="48"/>
      <c r="AA197" s="48"/>
      <c r="AB197" s="48"/>
      <c r="AC197" s="48"/>
      <c r="AD197" s="48"/>
      <c r="AE197" s="48"/>
      <c r="AF197" s="48"/>
      <c r="AG197" s="48"/>
      <c r="AH197" s="48"/>
      <c r="AI197" s="48"/>
      <c r="AJ197" s="44"/>
      <c r="AK197" s="44"/>
      <c r="AL197" s="44"/>
    </row>
    <row r="198" spans="1:38" x14ac:dyDescent="0.25">
      <c r="A198" s="94"/>
      <c r="B198" s="265" t="s">
        <v>1041</v>
      </c>
      <c r="C198" s="266" t="s">
        <v>836</v>
      </c>
      <c r="D198" s="265" t="s">
        <v>199</v>
      </c>
      <c r="E198" s="265" t="s">
        <v>837</v>
      </c>
      <c r="F198" s="267" t="s">
        <v>41</v>
      </c>
      <c r="G198" s="277">
        <v>7.14</v>
      </c>
      <c r="H198" s="268">
        <v>1333.12</v>
      </c>
      <c r="I198" s="287">
        <f>27.86+1.86+33.92+2.26+45.22+55.71</f>
        <v>166.83</v>
      </c>
      <c r="J198" s="268">
        <f t="shared" ref="J198:J212" si="69">I198*(1+$M$9)</f>
        <v>211.66</v>
      </c>
      <c r="K198" s="292">
        <f>H198-I198</f>
        <v>1166.29</v>
      </c>
      <c r="L198" s="268">
        <f t="shared" ref="L198:L212" si="70">K198*(1+$M$9)</f>
        <v>1479.67</v>
      </c>
      <c r="M198" s="268">
        <f t="shared" ref="M198:M212" si="71">L198+J198</f>
        <v>1691.33</v>
      </c>
      <c r="N198" s="268">
        <f t="shared" ref="N198:N212" si="72">J198*G198</f>
        <v>1511.25</v>
      </c>
      <c r="O198" s="268">
        <f t="shared" ref="O198:O212" si="73">L198*G198</f>
        <v>10564.84</v>
      </c>
      <c r="P198" s="268">
        <f t="shared" ref="P198:P212" si="74">O198+N198</f>
        <v>12076.09</v>
      </c>
      <c r="Q198" s="269">
        <f t="shared" ref="Q198:Q212" si="75">P198/$O$485</f>
        <v>4.7999999999999996E-3</v>
      </c>
      <c r="R198" s="44"/>
      <c r="S198" s="49">
        <f t="shared" si="61"/>
        <v>9518.48</v>
      </c>
      <c r="T198" s="126"/>
      <c r="U198" s="48"/>
      <c r="V198" s="48"/>
      <c r="W198" s="48"/>
      <c r="X198" s="48"/>
      <c r="Y198" s="48"/>
      <c r="Z198" s="48"/>
      <c r="AA198" s="48"/>
      <c r="AB198" s="48"/>
      <c r="AC198" s="48"/>
      <c r="AD198" s="48"/>
      <c r="AE198" s="48"/>
      <c r="AF198" s="48"/>
      <c r="AG198" s="48"/>
      <c r="AH198" s="48"/>
      <c r="AI198" s="48"/>
      <c r="AJ198" s="44"/>
      <c r="AK198" s="44"/>
      <c r="AL198" s="44"/>
    </row>
    <row r="199" spans="1:38" x14ac:dyDescent="0.25">
      <c r="A199" s="94"/>
      <c r="B199" s="265" t="s">
        <v>1042</v>
      </c>
      <c r="C199" s="266" t="s">
        <v>838</v>
      </c>
      <c r="D199" s="265" t="s">
        <v>146</v>
      </c>
      <c r="E199" s="265" t="s">
        <v>839</v>
      </c>
      <c r="F199" s="267" t="s">
        <v>168</v>
      </c>
      <c r="G199" s="277">
        <v>1</v>
      </c>
      <c r="H199" s="268">
        <v>2408.48</v>
      </c>
      <c r="I199" s="287">
        <f>0.78+0.77+2.79+3.83</f>
        <v>8.17</v>
      </c>
      <c r="J199" s="268">
        <f t="shared" si="69"/>
        <v>10.37</v>
      </c>
      <c r="K199" s="292">
        <f>H199-I199</f>
        <v>2400.31</v>
      </c>
      <c r="L199" s="268">
        <f t="shared" si="70"/>
        <v>3045.27</v>
      </c>
      <c r="M199" s="268">
        <f t="shared" si="71"/>
        <v>3055.64</v>
      </c>
      <c r="N199" s="268">
        <f t="shared" si="72"/>
        <v>10.37</v>
      </c>
      <c r="O199" s="268">
        <f t="shared" si="73"/>
        <v>3045.27</v>
      </c>
      <c r="P199" s="268">
        <f t="shared" si="74"/>
        <v>3055.64</v>
      </c>
      <c r="Q199" s="269">
        <f t="shared" si="75"/>
        <v>1.1999999999999999E-3</v>
      </c>
      <c r="R199" s="44"/>
      <c r="S199" s="49">
        <f t="shared" si="61"/>
        <v>2408.48</v>
      </c>
      <c r="T199" s="126"/>
      <c r="U199" s="48"/>
      <c r="V199" s="48"/>
      <c r="W199" s="48"/>
      <c r="X199" s="48"/>
      <c r="Y199" s="48"/>
      <c r="Z199" s="48"/>
      <c r="AA199" s="48"/>
      <c r="AB199" s="48"/>
      <c r="AC199" s="48"/>
      <c r="AD199" s="48"/>
      <c r="AE199" s="48"/>
      <c r="AF199" s="48"/>
      <c r="AG199" s="48"/>
      <c r="AH199" s="48"/>
      <c r="AI199" s="48"/>
      <c r="AJ199" s="44"/>
      <c r="AK199" s="44"/>
      <c r="AL199" s="44"/>
    </row>
    <row r="200" spans="1:38" ht="27.6" x14ac:dyDescent="0.25">
      <c r="A200" s="94"/>
      <c r="B200" s="265" t="s">
        <v>1043</v>
      </c>
      <c r="C200" s="266" t="s">
        <v>1044</v>
      </c>
      <c r="D200" s="265" t="s">
        <v>40</v>
      </c>
      <c r="E200" s="265" t="s">
        <v>1045</v>
      </c>
      <c r="F200" s="267" t="s">
        <v>44</v>
      </c>
      <c r="G200" s="277">
        <v>8</v>
      </c>
      <c r="H200" s="268">
        <f>I200+K200</f>
        <v>206.34</v>
      </c>
      <c r="I200" s="287">
        <v>10.85</v>
      </c>
      <c r="J200" s="268">
        <f t="shared" si="69"/>
        <v>13.77</v>
      </c>
      <c r="K200" s="292">
        <v>195.49</v>
      </c>
      <c r="L200" s="268">
        <f t="shared" si="70"/>
        <v>248.02</v>
      </c>
      <c r="M200" s="268">
        <f t="shared" si="71"/>
        <v>261.79000000000002</v>
      </c>
      <c r="N200" s="268">
        <f t="shared" si="72"/>
        <v>110.16</v>
      </c>
      <c r="O200" s="268">
        <f t="shared" si="73"/>
        <v>1984.16</v>
      </c>
      <c r="P200" s="268">
        <f t="shared" si="74"/>
        <v>2094.3200000000002</v>
      </c>
      <c r="Q200" s="269">
        <f t="shared" si="75"/>
        <v>8.0000000000000004E-4</v>
      </c>
      <c r="R200" s="44"/>
      <c r="S200" s="49">
        <f t="shared" si="61"/>
        <v>1650.72</v>
      </c>
      <c r="T200" s="126"/>
      <c r="U200" s="48"/>
      <c r="V200" s="48"/>
      <c r="W200" s="48"/>
      <c r="X200" s="48"/>
      <c r="Y200" s="48"/>
      <c r="Z200" s="48"/>
      <c r="AA200" s="48"/>
      <c r="AB200" s="48"/>
      <c r="AC200" s="48"/>
      <c r="AD200" s="48"/>
      <c r="AE200" s="48"/>
      <c r="AF200" s="48"/>
      <c r="AG200" s="48"/>
      <c r="AH200" s="48"/>
      <c r="AI200" s="48"/>
      <c r="AJ200" s="44"/>
      <c r="AK200" s="44"/>
      <c r="AL200" s="44"/>
    </row>
    <row r="201" spans="1:38" ht="27.6" x14ac:dyDescent="0.25">
      <c r="A201" s="94"/>
      <c r="B201" s="265" t="s">
        <v>1046</v>
      </c>
      <c r="C201" s="266" t="s">
        <v>161</v>
      </c>
      <c r="D201" s="265" t="s">
        <v>40</v>
      </c>
      <c r="E201" s="265" t="s">
        <v>1047</v>
      </c>
      <c r="F201" s="267" t="s">
        <v>44</v>
      </c>
      <c r="G201" s="277">
        <v>5</v>
      </c>
      <c r="H201" s="268">
        <f>I201+K201</f>
        <v>60.06</v>
      </c>
      <c r="I201" s="287">
        <v>3.46</v>
      </c>
      <c r="J201" s="268">
        <f t="shared" si="69"/>
        <v>4.3899999999999997</v>
      </c>
      <c r="K201" s="292">
        <v>56.6</v>
      </c>
      <c r="L201" s="268">
        <f t="shared" si="70"/>
        <v>71.81</v>
      </c>
      <c r="M201" s="268">
        <f t="shared" si="71"/>
        <v>76.2</v>
      </c>
      <c r="N201" s="268">
        <f t="shared" si="72"/>
        <v>21.95</v>
      </c>
      <c r="O201" s="268">
        <f t="shared" si="73"/>
        <v>359.05</v>
      </c>
      <c r="P201" s="268">
        <f t="shared" si="74"/>
        <v>381</v>
      </c>
      <c r="Q201" s="269">
        <f t="shared" si="75"/>
        <v>2.0000000000000001E-4</v>
      </c>
      <c r="R201" s="44"/>
      <c r="S201" s="49">
        <f t="shared" si="61"/>
        <v>300.3</v>
      </c>
      <c r="T201" s="126"/>
      <c r="U201" s="48"/>
      <c r="V201" s="48"/>
      <c r="W201" s="48"/>
      <c r="X201" s="48"/>
      <c r="Y201" s="48"/>
      <c r="Z201" s="48"/>
      <c r="AA201" s="48"/>
      <c r="AB201" s="48"/>
      <c r="AC201" s="48"/>
      <c r="AD201" s="48"/>
      <c r="AE201" s="48"/>
      <c r="AF201" s="48"/>
      <c r="AG201" s="48"/>
      <c r="AH201" s="48"/>
      <c r="AI201" s="48"/>
      <c r="AJ201" s="44"/>
      <c r="AK201" s="44"/>
      <c r="AL201" s="44"/>
    </row>
    <row r="202" spans="1:38" x14ac:dyDescent="0.25">
      <c r="A202" s="94"/>
      <c r="B202" s="265" t="s">
        <v>1048</v>
      </c>
      <c r="C202" s="266" t="s">
        <v>579</v>
      </c>
      <c r="D202" s="265" t="s">
        <v>199</v>
      </c>
      <c r="E202" s="265" t="s">
        <v>761</v>
      </c>
      <c r="F202" s="267" t="s">
        <v>168</v>
      </c>
      <c r="G202" s="277">
        <v>2</v>
      </c>
      <c r="H202" s="268">
        <v>344.18</v>
      </c>
      <c r="I202" s="287">
        <f>9.29+8.12</f>
        <v>17.41</v>
      </c>
      <c r="J202" s="268">
        <f t="shared" si="69"/>
        <v>22.09</v>
      </c>
      <c r="K202" s="292">
        <f t="shared" ref="K202:K207" si="76">H202-I202</f>
        <v>326.77</v>
      </c>
      <c r="L202" s="268">
        <f t="shared" si="70"/>
        <v>414.57</v>
      </c>
      <c r="M202" s="268">
        <f t="shared" si="71"/>
        <v>436.66</v>
      </c>
      <c r="N202" s="268">
        <f t="shared" si="72"/>
        <v>44.18</v>
      </c>
      <c r="O202" s="268">
        <f t="shared" si="73"/>
        <v>829.14</v>
      </c>
      <c r="P202" s="268">
        <f t="shared" si="74"/>
        <v>873.32</v>
      </c>
      <c r="Q202" s="269">
        <f t="shared" si="75"/>
        <v>2.9999999999999997E-4</v>
      </c>
      <c r="R202" s="44"/>
      <c r="S202" s="49">
        <f t="shared" si="61"/>
        <v>688.36</v>
      </c>
      <c r="T202" s="85"/>
      <c r="U202" s="48"/>
      <c r="V202" s="48"/>
      <c r="W202" s="48"/>
      <c r="X202" s="48"/>
      <c r="Y202" s="48"/>
      <c r="Z202" s="48"/>
      <c r="AA202" s="48"/>
      <c r="AB202" s="48"/>
      <c r="AC202" s="48"/>
      <c r="AD202" s="48"/>
      <c r="AE202" s="48"/>
      <c r="AF202" s="48"/>
      <c r="AG202" s="48"/>
      <c r="AH202" s="48"/>
      <c r="AI202" s="48"/>
      <c r="AJ202" s="44"/>
      <c r="AK202" s="44"/>
      <c r="AL202" s="44"/>
    </row>
    <row r="203" spans="1:38" x14ac:dyDescent="0.25">
      <c r="A203" s="94"/>
      <c r="B203" s="265" t="s">
        <v>1049</v>
      </c>
      <c r="C203" s="266" t="s">
        <v>840</v>
      </c>
      <c r="D203" s="265" t="s">
        <v>199</v>
      </c>
      <c r="E203" s="265" t="s">
        <v>841</v>
      </c>
      <c r="F203" s="267" t="s">
        <v>44</v>
      </c>
      <c r="G203" s="277">
        <v>8</v>
      </c>
      <c r="H203" s="268">
        <v>360.65</v>
      </c>
      <c r="I203" s="287">
        <f>26+37.91</f>
        <v>63.91</v>
      </c>
      <c r="J203" s="268">
        <f t="shared" si="69"/>
        <v>81.08</v>
      </c>
      <c r="K203" s="292">
        <f t="shared" si="76"/>
        <v>296.74</v>
      </c>
      <c r="L203" s="268">
        <f t="shared" si="70"/>
        <v>376.47</v>
      </c>
      <c r="M203" s="268">
        <f t="shared" si="71"/>
        <v>457.55</v>
      </c>
      <c r="N203" s="268">
        <f t="shared" si="72"/>
        <v>648.64</v>
      </c>
      <c r="O203" s="268">
        <f t="shared" si="73"/>
        <v>3011.76</v>
      </c>
      <c r="P203" s="268">
        <f t="shared" si="74"/>
        <v>3660.4</v>
      </c>
      <c r="Q203" s="269">
        <f t="shared" si="75"/>
        <v>1.4E-3</v>
      </c>
      <c r="R203" s="44"/>
      <c r="S203" s="49">
        <f t="shared" si="61"/>
        <v>2885.2</v>
      </c>
      <c r="T203" s="85"/>
      <c r="U203" s="48"/>
      <c r="V203" s="48"/>
      <c r="W203" s="48"/>
      <c r="X203" s="48"/>
      <c r="Y203" s="48"/>
      <c r="Z203" s="48"/>
      <c r="AA203" s="48"/>
      <c r="AB203" s="48"/>
      <c r="AC203" s="48"/>
      <c r="AD203" s="48"/>
      <c r="AE203" s="48"/>
      <c r="AF203" s="48"/>
      <c r="AG203" s="48"/>
      <c r="AH203" s="48"/>
      <c r="AI203" s="48"/>
      <c r="AJ203" s="44"/>
      <c r="AK203" s="44"/>
      <c r="AL203" s="44"/>
    </row>
    <row r="204" spans="1:38" x14ac:dyDescent="0.25">
      <c r="A204" s="94"/>
      <c r="B204" s="265" t="s">
        <v>1050</v>
      </c>
      <c r="C204" s="266" t="s">
        <v>257</v>
      </c>
      <c r="D204" s="265" t="s">
        <v>146</v>
      </c>
      <c r="E204" s="265" t="s">
        <v>258</v>
      </c>
      <c r="F204" s="267" t="s">
        <v>168</v>
      </c>
      <c r="G204" s="277">
        <v>27</v>
      </c>
      <c r="H204" s="268">
        <v>274.55</v>
      </c>
      <c r="I204" s="287">
        <f>1.92+1.92+9.57+6.83</f>
        <v>20.239999999999998</v>
      </c>
      <c r="J204" s="268">
        <f t="shared" si="69"/>
        <v>25.68</v>
      </c>
      <c r="K204" s="292">
        <f t="shared" si="76"/>
        <v>254.31</v>
      </c>
      <c r="L204" s="268">
        <f t="shared" si="70"/>
        <v>322.64</v>
      </c>
      <c r="M204" s="268">
        <f t="shared" si="71"/>
        <v>348.32</v>
      </c>
      <c r="N204" s="268">
        <f t="shared" si="72"/>
        <v>693.36</v>
      </c>
      <c r="O204" s="268">
        <f t="shared" si="73"/>
        <v>8711.2800000000007</v>
      </c>
      <c r="P204" s="268">
        <f t="shared" si="74"/>
        <v>9404.64</v>
      </c>
      <c r="Q204" s="269">
        <f t="shared" si="75"/>
        <v>3.7000000000000002E-3</v>
      </c>
      <c r="R204" s="44"/>
      <c r="S204" s="49">
        <f t="shared" si="61"/>
        <v>7412.85</v>
      </c>
      <c r="T204" s="126"/>
      <c r="U204" s="48"/>
      <c r="V204" s="48"/>
      <c r="W204" s="48"/>
      <c r="X204" s="48"/>
      <c r="Y204" s="48"/>
      <c r="Z204" s="48"/>
      <c r="AA204" s="48"/>
      <c r="AB204" s="48"/>
      <c r="AC204" s="48"/>
      <c r="AD204" s="48"/>
      <c r="AE204" s="48"/>
      <c r="AF204" s="48"/>
      <c r="AG204" s="48"/>
      <c r="AH204" s="48"/>
      <c r="AI204" s="48"/>
      <c r="AJ204" s="44"/>
      <c r="AK204" s="44"/>
      <c r="AL204" s="44"/>
    </row>
    <row r="205" spans="1:38" x14ac:dyDescent="0.25">
      <c r="A205" s="94"/>
      <c r="B205" s="265" t="s">
        <v>1051</v>
      </c>
      <c r="C205" s="266" t="s">
        <v>259</v>
      </c>
      <c r="D205" s="265" t="s">
        <v>146</v>
      </c>
      <c r="E205" s="265" t="s">
        <v>260</v>
      </c>
      <c r="F205" s="267" t="s">
        <v>168</v>
      </c>
      <c r="G205" s="277">
        <v>7</v>
      </c>
      <c r="H205" s="268">
        <v>812.99</v>
      </c>
      <c r="I205" s="287">
        <f>1.92+9.57</f>
        <v>11.49</v>
      </c>
      <c r="J205" s="268">
        <f t="shared" si="69"/>
        <v>14.58</v>
      </c>
      <c r="K205" s="292">
        <f t="shared" si="76"/>
        <v>801.5</v>
      </c>
      <c r="L205" s="268">
        <f t="shared" si="70"/>
        <v>1016.86</v>
      </c>
      <c r="M205" s="268">
        <f t="shared" si="71"/>
        <v>1031.44</v>
      </c>
      <c r="N205" s="268">
        <f t="shared" si="72"/>
        <v>102.06</v>
      </c>
      <c r="O205" s="268">
        <f t="shared" si="73"/>
        <v>7118.02</v>
      </c>
      <c r="P205" s="268">
        <f t="shared" si="74"/>
        <v>7220.08</v>
      </c>
      <c r="Q205" s="269">
        <f t="shared" si="75"/>
        <v>2.8999999999999998E-3</v>
      </c>
      <c r="R205" s="44"/>
      <c r="S205" s="49">
        <f t="shared" si="61"/>
        <v>5690.93</v>
      </c>
      <c r="T205" s="126"/>
      <c r="U205" s="48"/>
      <c r="V205" s="48"/>
      <c r="W205" s="48"/>
      <c r="X205" s="48"/>
      <c r="Y205" s="48"/>
      <c r="Z205" s="48"/>
      <c r="AA205" s="48"/>
      <c r="AB205" s="48"/>
      <c r="AC205" s="48"/>
      <c r="AD205" s="48"/>
      <c r="AE205" s="48"/>
      <c r="AF205" s="48"/>
      <c r="AG205" s="48"/>
      <c r="AH205" s="48"/>
      <c r="AI205" s="48"/>
      <c r="AJ205" s="44"/>
      <c r="AK205" s="44"/>
      <c r="AL205" s="44"/>
    </row>
    <row r="206" spans="1:38" x14ac:dyDescent="0.25">
      <c r="A206" s="94"/>
      <c r="B206" s="265" t="s">
        <v>1052</v>
      </c>
      <c r="C206" s="266" t="s">
        <v>264</v>
      </c>
      <c r="D206" s="265" t="s">
        <v>146</v>
      </c>
      <c r="E206" s="265" t="s">
        <v>265</v>
      </c>
      <c r="F206" s="267" t="s">
        <v>168</v>
      </c>
      <c r="G206" s="277">
        <v>10</v>
      </c>
      <c r="H206" s="268">
        <v>221.78</v>
      </c>
      <c r="I206" s="287">
        <f>1.14+5.74</f>
        <v>6.88</v>
      </c>
      <c r="J206" s="268">
        <f t="shared" si="69"/>
        <v>8.73</v>
      </c>
      <c r="K206" s="292">
        <f t="shared" si="76"/>
        <v>214.9</v>
      </c>
      <c r="L206" s="268">
        <f t="shared" si="70"/>
        <v>272.64</v>
      </c>
      <c r="M206" s="268">
        <f t="shared" si="71"/>
        <v>281.37</v>
      </c>
      <c r="N206" s="268">
        <f t="shared" si="72"/>
        <v>87.3</v>
      </c>
      <c r="O206" s="268">
        <f t="shared" si="73"/>
        <v>2726.4</v>
      </c>
      <c r="P206" s="268">
        <f t="shared" si="74"/>
        <v>2813.7</v>
      </c>
      <c r="Q206" s="269">
        <f t="shared" si="75"/>
        <v>1.1000000000000001E-3</v>
      </c>
      <c r="R206" s="44"/>
      <c r="S206" s="49">
        <f t="shared" si="61"/>
        <v>2217.8000000000002</v>
      </c>
      <c r="T206" s="126"/>
      <c r="U206" s="48"/>
      <c r="V206" s="48"/>
      <c r="W206" s="48"/>
      <c r="X206" s="48"/>
      <c r="Y206" s="48"/>
      <c r="Z206" s="48"/>
      <c r="AA206" s="48"/>
      <c r="AB206" s="48"/>
      <c r="AC206" s="48"/>
      <c r="AD206" s="48"/>
      <c r="AE206" s="48"/>
      <c r="AF206" s="48"/>
      <c r="AG206" s="48"/>
      <c r="AH206" s="48"/>
      <c r="AI206" s="48"/>
      <c r="AJ206" s="44"/>
      <c r="AK206" s="44"/>
      <c r="AL206" s="44"/>
    </row>
    <row r="207" spans="1:38" x14ac:dyDescent="0.25">
      <c r="A207" s="94"/>
      <c r="B207" s="265" t="s">
        <v>1053</v>
      </c>
      <c r="C207" s="266" t="s">
        <v>266</v>
      </c>
      <c r="D207" s="265" t="s">
        <v>146</v>
      </c>
      <c r="E207" s="265" t="s">
        <v>267</v>
      </c>
      <c r="F207" s="267" t="s">
        <v>168</v>
      </c>
      <c r="G207" s="277">
        <v>10</v>
      </c>
      <c r="H207" s="268">
        <v>111.78</v>
      </c>
      <c r="I207" s="287">
        <f>1.14+5.74</f>
        <v>6.88</v>
      </c>
      <c r="J207" s="268">
        <f t="shared" si="69"/>
        <v>8.73</v>
      </c>
      <c r="K207" s="292">
        <f t="shared" si="76"/>
        <v>104.9</v>
      </c>
      <c r="L207" s="268">
        <f t="shared" si="70"/>
        <v>133.09</v>
      </c>
      <c r="M207" s="268">
        <f t="shared" si="71"/>
        <v>141.82</v>
      </c>
      <c r="N207" s="268">
        <f t="shared" si="72"/>
        <v>87.3</v>
      </c>
      <c r="O207" s="268">
        <f t="shared" si="73"/>
        <v>1330.9</v>
      </c>
      <c r="P207" s="268">
        <f t="shared" si="74"/>
        <v>1418.2</v>
      </c>
      <c r="Q207" s="269">
        <f t="shared" si="75"/>
        <v>5.9999999999999995E-4</v>
      </c>
      <c r="R207" s="44"/>
      <c r="S207" s="49">
        <f t="shared" si="61"/>
        <v>1117.8</v>
      </c>
      <c r="T207" s="126"/>
      <c r="U207" s="48"/>
      <c r="V207" s="48"/>
      <c r="W207" s="48"/>
      <c r="X207" s="48"/>
      <c r="Y207" s="48"/>
      <c r="Z207" s="48"/>
      <c r="AA207" s="48"/>
      <c r="AB207" s="48"/>
      <c r="AC207" s="48"/>
      <c r="AD207" s="48"/>
      <c r="AE207" s="48"/>
      <c r="AF207" s="48"/>
      <c r="AG207" s="48"/>
      <c r="AH207" s="48"/>
      <c r="AI207" s="48"/>
      <c r="AJ207" s="44"/>
      <c r="AK207" s="44"/>
      <c r="AL207" s="44"/>
    </row>
    <row r="208" spans="1:38" ht="27.6" x14ac:dyDescent="0.25">
      <c r="A208" s="94"/>
      <c r="B208" s="265" t="s">
        <v>1054</v>
      </c>
      <c r="C208" s="266" t="s">
        <v>268</v>
      </c>
      <c r="D208" s="265" t="s">
        <v>40</v>
      </c>
      <c r="E208" s="265" t="s">
        <v>269</v>
      </c>
      <c r="F208" s="267" t="s">
        <v>44</v>
      </c>
      <c r="G208" s="277">
        <v>5</v>
      </c>
      <c r="H208" s="268">
        <f>I208+K208</f>
        <v>354.35</v>
      </c>
      <c r="I208" s="287">
        <v>21.64</v>
      </c>
      <c r="J208" s="268">
        <f t="shared" si="69"/>
        <v>27.45</v>
      </c>
      <c r="K208" s="292">
        <v>332.71</v>
      </c>
      <c r="L208" s="268">
        <f t="shared" si="70"/>
        <v>422.11</v>
      </c>
      <c r="M208" s="268">
        <f t="shared" si="71"/>
        <v>449.56</v>
      </c>
      <c r="N208" s="268">
        <f t="shared" si="72"/>
        <v>137.25</v>
      </c>
      <c r="O208" s="268">
        <f t="shared" si="73"/>
        <v>2110.5500000000002</v>
      </c>
      <c r="P208" s="268">
        <f t="shared" si="74"/>
        <v>2247.8000000000002</v>
      </c>
      <c r="Q208" s="269">
        <f t="shared" si="75"/>
        <v>8.9999999999999998E-4</v>
      </c>
      <c r="R208" s="44"/>
      <c r="S208" s="49">
        <f t="shared" si="61"/>
        <v>1771.75</v>
      </c>
      <c r="T208" s="126"/>
      <c r="U208" s="48"/>
      <c r="V208" s="48"/>
      <c r="W208" s="48"/>
      <c r="X208" s="48"/>
      <c r="Y208" s="48"/>
      <c r="Z208" s="48"/>
      <c r="AA208" s="48"/>
      <c r="AB208" s="48"/>
      <c r="AC208" s="48"/>
      <c r="AD208" s="48"/>
      <c r="AE208" s="48"/>
      <c r="AF208" s="48"/>
      <c r="AG208" s="48"/>
      <c r="AH208" s="48"/>
      <c r="AI208" s="48"/>
      <c r="AJ208" s="44"/>
      <c r="AK208" s="44"/>
      <c r="AL208" s="44"/>
    </row>
    <row r="209" spans="1:38" x14ac:dyDescent="0.25">
      <c r="A209" s="94"/>
      <c r="B209" s="265" t="s">
        <v>1055</v>
      </c>
      <c r="C209" s="266" t="s">
        <v>1469</v>
      </c>
      <c r="D209" s="265" t="s">
        <v>584</v>
      </c>
      <c r="E209" s="265" t="s">
        <v>1470</v>
      </c>
      <c r="F209" s="267" t="s">
        <v>585</v>
      </c>
      <c r="G209" s="277">
        <v>1</v>
      </c>
      <c r="H209" s="268">
        <v>153.41999999999999</v>
      </c>
      <c r="I209" s="287">
        <v>33.58</v>
      </c>
      <c r="J209" s="268">
        <f t="shared" si="69"/>
        <v>42.6</v>
      </c>
      <c r="K209" s="292">
        <f>H209-I209</f>
        <v>119.84</v>
      </c>
      <c r="L209" s="268">
        <f t="shared" si="70"/>
        <v>152.04</v>
      </c>
      <c r="M209" s="268">
        <f t="shared" si="71"/>
        <v>194.64</v>
      </c>
      <c r="N209" s="268">
        <f t="shared" si="72"/>
        <v>42.6</v>
      </c>
      <c r="O209" s="268">
        <f t="shared" si="73"/>
        <v>152.04</v>
      </c>
      <c r="P209" s="268">
        <f t="shared" si="74"/>
        <v>194.64</v>
      </c>
      <c r="Q209" s="269">
        <f t="shared" si="75"/>
        <v>1E-4</v>
      </c>
      <c r="R209" s="44"/>
      <c r="S209" s="49">
        <f t="shared" si="61"/>
        <v>153.41999999999999</v>
      </c>
      <c r="T209" s="126"/>
      <c r="U209" s="48"/>
      <c r="V209" s="48"/>
      <c r="W209" s="48"/>
      <c r="X209" s="48"/>
      <c r="Y209" s="48"/>
      <c r="Z209" s="48"/>
      <c r="AA209" s="48"/>
      <c r="AB209" s="48"/>
      <c r="AC209" s="48"/>
      <c r="AD209" s="48"/>
      <c r="AE209" s="48"/>
      <c r="AF209" s="48"/>
      <c r="AG209" s="48"/>
      <c r="AH209" s="48"/>
      <c r="AI209" s="48"/>
      <c r="AJ209" s="44"/>
      <c r="AK209" s="44"/>
      <c r="AL209" s="44"/>
    </row>
    <row r="210" spans="1:38" ht="27.6" x14ac:dyDescent="0.25">
      <c r="A210" s="94"/>
      <c r="B210" s="265" t="s">
        <v>1056</v>
      </c>
      <c r="C210" s="266" t="s">
        <v>1471</v>
      </c>
      <c r="D210" s="265" t="s">
        <v>40</v>
      </c>
      <c r="E210" s="265" t="s">
        <v>1472</v>
      </c>
      <c r="F210" s="267" t="s">
        <v>44</v>
      </c>
      <c r="G210" s="277">
        <v>1</v>
      </c>
      <c r="H210" s="268">
        <f>I210+K210</f>
        <v>1094.6199999999999</v>
      </c>
      <c r="I210" s="287">
        <v>28.86</v>
      </c>
      <c r="J210" s="268">
        <f t="shared" si="69"/>
        <v>36.61</v>
      </c>
      <c r="K210" s="292">
        <v>1065.76</v>
      </c>
      <c r="L210" s="268">
        <f t="shared" si="70"/>
        <v>1352.13</v>
      </c>
      <c r="M210" s="268">
        <f t="shared" si="71"/>
        <v>1388.74</v>
      </c>
      <c r="N210" s="268">
        <f t="shared" si="72"/>
        <v>36.61</v>
      </c>
      <c r="O210" s="268">
        <f t="shared" si="73"/>
        <v>1352.13</v>
      </c>
      <c r="P210" s="268">
        <f t="shared" si="74"/>
        <v>1388.74</v>
      </c>
      <c r="Q210" s="269">
        <f t="shared" si="75"/>
        <v>5.0000000000000001E-4</v>
      </c>
      <c r="R210" s="44"/>
      <c r="S210" s="49">
        <f t="shared" si="61"/>
        <v>1094.6199999999999</v>
      </c>
      <c r="T210" s="126"/>
      <c r="U210" s="48"/>
      <c r="V210" s="48"/>
      <c r="W210" s="48"/>
      <c r="X210" s="48"/>
      <c r="Y210" s="48"/>
      <c r="Z210" s="48"/>
      <c r="AA210" s="48"/>
      <c r="AB210" s="48"/>
      <c r="AC210" s="48"/>
      <c r="AD210" s="48"/>
      <c r="AE210" s="48"/>
      <c r="AF210" s="48"/>
      <c r="AG210" s="48"/>
      <c r="AH210" s="48"/>
      <c r="AI210" s="48"/>
      <c r="AJ210" s="44"/>
      <c r="AK210" s="44"/>
      <c r="AL210" s="44"/>
    </row>
    <row r="211" spans="1:38" x14ac:dyDescent="0.25">
      <c r="A211" s="94"/>
      <c r="B211" s="265" t="s">
        <v>1057</v>
      </c>
      <c r="C211" s="266" t="s">
        <v>580</v>
      </c>
      <c r="D211" s="265" t="s">
        <v>100</v>
      </c>
      <c r="E211" s="265" t="s">
        <v>581</v>
      </c>
      <c r="F211" s="267" t="s">
        <v>44</v>
      </c>
      <c r="G211" s="277">
        <v>21</v>
      </c>
      <c r="H211" s="268">
        <f>CPUS!L106</f>
        <v>88.2</v>
      </c>
      <c r="I211" s="287">
        <f>CPUS!H113</f>
        <v>36.1</v>
      </c>
      <c r="J211" s="268">
        <f t="shared" si="69"/>
        <v>45.8</v>
      </c>
      <c r="K211" s="292">
        <f>H211-I211</f>
        <v>52.1</v>
      </c>
      <c r="L211" s="268">
        <f t="shared" si="70"/>
        <v>66.099999999999994</v>
      </c>
      <c r="M211" s="268">
        <f t="shared" si="71"/>
        <v>111.9</v>
      </c>
      <c r="N211" s="268">
        <f t="shared" si="72"/>
        <v>961.8</v>
      </c>
      <c r="O211" s="268">
        <f t="shared" si="73"/>
        <v>1388.1</v>
      </c>
      <c r="P211" s="268">
        <f t="shared" si="74"/>
        <v>2349.9</v>
      </c>
      <c r="Q211" s="269">
        <f t="shared" si="75"/>
        <v>8.9999999999999998E-4</v>
      </c>
      <c r="R211" s="44"/>
      <c r="S211" s="49">
        <f t="shared" si="61"/>
        <v>1852.2</v>
      </c>
      <c r="T211" s="126"/>
      <c r="U211" s="48"/>
      <c r="V211" s="48"/>
      <c r="W211" s="48"/>
      <c r="X211" s="48"/>
      <c r="Y211" s="48"/>
      <c r="Z211" s="48"/>
      <c r="AA211" s="48"/>
      <c r="AB211" s="48"/>
      <c r="AC211" s="48"/>
      <c r="AD211" s="48"/>
      <c r="AE211" s="48"/>
      <c r="AF211" s="48"/>
      <c r="AG211" s="48"/>
      <c r="AH211" s="48"/>
      <c r="AI211" s="48"/>
      <c r="AJ211" s="44"/>
      <c r="AK211" s="44"/>
      <c r="AL211" s="44"/>
    </row>
    <row r="212" spans="1:38" ht="41.4" x14ac:dyDescent="0.25">
      <c r="A212" s="94"/>
      <c r="B212" s="265" t="s">
        <v>1473</v>
      </c>
      <c r="C212" s="266" t="s">
        <v>867</v>
      </c>
      <c r="D212" s="265" t="s">
        <v>551</v>
      </c>
      <c r="E212" s="265" t="s">
        <v>1058</v>
      </c>
      <c r="F212" s="267" t="s">
        <v>44</v>
      </c>
      <c r="G212" s="277">
        <v>6</v>
      </c>
      <c r="H212" s="268">
        <v>449.47</v>
      </c>
      <c r="I212" s="287">
        <f>12.463+9.0125</f>
        <v>21.48</v>
      </c>
      <c r="J212" s="268">
        <f t="shared" si="69"/>
        <v>27.25</v>
      </c>
      <c r="K212" s="292">
        <f>H212-I212</f>
        <v>427.99</v>
      </c>
      <c r="L212" s="268">
        <f t="shared" si="70"/>
        <v>542.99</v>
      </c>
      <c r="M212" s="268">
        <f t="shared" si="71"/>
        <v>570.24</v>
      </c>
      <c r="N212" s="268">
        <f t="shared" si="72"/>
        <v>163.5</v>
      </c>
      <c r="O212" s="268">
        <f t="shared" si="73"/>
        <v>3257.94</v>
      </c>
      <c r="P212" s="268">
        <f t="shared" si="74"/>
        <v>3421.44</v>
      </c>
      <c r="Q212" s="269">
        <f t="shared" si="75"/>
        <v>1.4E-3</v>
      </c>
      <c r="R212" s="44"/>
      <c r="S212" s="49">
        <f t="shared" si="61"/>
        <v>2696.82</v>
      </c>
      <c r="T212" s="126"/>
      <c r="U212" s="48"/>
      <c r="V212" s="48"/>
      <c r="W212" s="48"/>
      <c r="X212" s="48"/>
      <c r="Y212" s="48"/>
      <c r="Z212" s="48"/>
      <c r="AA212" s="48"/>
      <c r="AB212" s="48"/>
      <c r="AC212" s="48"/>
      <c r="AD212" s="48"/>
      <c r="AE212" s="48"/>
      <c r="AF212" s="48"/>
      <c r="AG212" s="48"/>
      <c r="AH212" s="48"/>
      <c r="AI212" s="48"/>
      <c r="AJ212" s="44"/>
      <c r="AK212" s="44"/>
      <c r="AL212" s="44"/>
    </row>
    <row r="213" spans="1:38" ht="15" customHeight="1" x14ac:dyDescent="0.25">
      <c r="A213" s="94"/>
      <c r="B213" s="261">
        <v>15</v>
      </c>
      <c r="C213" s="261"/>
      <c r="D213" s="261"/>
      <c r="E213" s="261" t="s">
        <v>586</v>
      </c>
      <c r="F213" s="261"/>
      <c r="G213" s="276"/>
      <c r="H213" s="262"/>
      <c r="I213" s="286"/>
      <c r="J213" s="261"/>
      <c r="K213" s="291"/>
      <c r="L213" s="261"/>
      <c r="M213" s="261"/>
      <c r="N213" s="261"/>
      <c r="O213" s="261"/>
      <c r="P213" s="263"/>
      <c r="Q213" s="263"/>
      <c r="R213" s="44"/>
      <c r="S213" s="49">
        <f t="shared" ref="S213:S276" si="77">G213*H213</f>
        <v>0</v>
      </c>
      <c r="T213" s="126"/>
      <c r="U213" s="48"/>
      <c r="V213" s="48"/>
      <c r="W213" s="48"/>
      <c r="X213" s="48"/>
      <c r="Y213" s="48"/>
      <c r="Z213" s="48"/>
      <c r="AA213" s="48"/>
      <c r="AB213" s="48"/>
      <c r="AC213" s="48"/>
      <c r="AD213" s="48"/>
      <c r="AE213" s="48"/>
      <c r="AF213" s="48"/>
      <c r="AG213" s="48"/>
      <c r="AH213" s="48"/>
      <c r="AI213" s="48"/>
      <c r="AJ213" s="44"/>
      <c r="AK213" s="44"/>
      <c r="AL213" s="44"/>
    </row>
    <row r="214" spans="1:38" x14ac:dyDescent="0.25">
      <c r="A214" s="94"/>
      <c r="B214" s="261" t="s">
        <v>263</v>
      </c>
      <c r="C214" s="261"/>
      <c r="D214" s="261"/>
      <c r="E214" s="261" t="s">
        <v>587</v>
      </c>
      <c r="F214" s="261"/>
      <c r="G214" s="276"/>
      <c r="H214" s="262"/>
      <c r="I214" s="286"/>
      <c r="J214" s="261"/>
      <c r="K214" s="291"/>
      <c r="L214" s="261"/>
      <c r="M214" s="261"/>
      <c r="N214" s="261"/>
      <c r="O214" s="261"/>
      <c r="P214" s="263"/>
      <c r="Q214" s="263"/>
      <c r="R214" s="44"/>
      <c r="S214" s="49">
        <f t="shared" si="77"/>
        <v>0</v>
      </c>
      <c r="T214" s="126"/>
      <c r="U214" s="48"/>
      <c r="V214" s="48"/>
      <c r="W214" s="48"/>
      <c r="X214" s="48"/>
      <c r="Y214" s="48"/>
      <c r="Z214" s="48"/>
      <c r="AA214" s="48"/>
      <c r="AB214" s="48"/>
      <c r="AC214" s="48"/>
      <c r="AD214" s="48"/>
      <c r="AE214" s="48"/>
      <c r="AF214" s="48"/>
      <c r="AG214" s="48"/>
      <c r="AH214" s="48"/>
      <c r="AI214" s="48"/>
      <c r="AJ214" s="44"/>
      <c r="AK214" s="44"/>
      <c r="AL214" s="44"/>
    </row>
    <row r="215" spans="1:38" ht="27.6" customHeight="1" x14ac:dyDescent="0.25">
      <c r="A215" s="94"/>
      <c r="B215" s="265" t="s">
        <v>578</v>
      </c>
      <c r="C215" s="266" t="s">
        <v>848</v>
      </c>
      <c r="D215" s="265" t="s">
        <v>51</v>
      </c>
      <c r="E215" s="265" t="s">
        <v>849</v>
      </c>
      <c r="F215" s="267" t="s">
        <v>44</v>
      </c>
      <c r="G215" s="277">
        <v>1</v>
      </c>
      <c r="H215" s="268">
        <v>73.36</v>
      </c>
      <c r="I215" s="287">
        <f>1.42+1.8</f>
        <v>3.22</v>
      </c>
      <c r="J215" s="268">
        <f t="shared" ref="J215:J244" si="78">I215*(1+$M$9)</f>
        <v>4.09</v>
      </c>
      <c r="K215" s="292">
        <f>H215-I215</f>
        <v>70.14</v>
      </c>
      <c r="L215" s="268">
        <f t="shared" ref="L215:L244" si="79">K215*(1+$M$9)</f>
        <v>88.99</v>
      </c>
      <c r="M215" s="268">
        <f t="shared" ref="M215:M256" si="80">L215+J215</f>
        <v>93.08</v>
      </c>
      <c r="N215" s="268">
        <f t="shared" ref="N215:N256" si="81">J215*G215</f>
        <v>4.09</v>
      </c>
      <c r="O215" s="268">
        <f t="shared" ref="O215:O256" si="82">L215*G215</f>
        <v>88.99</v>
      </c>
      <c r="P215" s="268">
        <f t="shared" ref="P215:P256" si="83">O215+N215</f>
        <v>93.08</v>
      </c>
      <c r="Q215" s="269">
        <f t="shared" ref="Q215:Q256" si="84">P215/$O$485</f>
        <v>0</v>
      </c>
      <c r="R215" s="44"/>
      <c r="S215" s="49">
        <f t="shared" si="77"/>
        <v>73.36</v>
      </c>
      <c r="T215" s="126"/>
      <c r="U215" s="48"/>
      <c r="V215" s="48"/>
      <c r="W215" s="48"/>
      <c r="X215" s="48"/>
      <c r="Y215" s="48"/>
      <c r="Z215" s="48"/>
      <c r="AA215" s="48"/>
      <c r="AB215" s="48"/>
      <c r="AC215" s="48"/>
      <c r="AD215" s="48"/>
      <c r="AE215" s="48"/>
      <c r="AF215" s="48"/>
      <c r="AG215" s="48"/>
      <c r="AH215" s="48"/>
      <c r="AI215" s="48"/>
      <c r="AJ215" s="44"/>
      <c r="AK215" s="44"/>
      <c r="AL215" s="44"/>
    </row>
    <row r="216" spans="1:38" ht="27.6" customHeight="1" x14ac:dyDescent="0.25">
      <c r="A216" s="94"/>
      <c r="B216" s="265" t="s">
        <v>1198</v>
      </c>
      <c r="C216" s="266" t="s">
        <v>591</v>
      </c>
      <c r="D216" s="265" t="s">
        <v>40</v>
      </c>
      <c r="E216" s="265" t="s">
        <v>592</v>
      </c>
      <c r="F216" s="267" t="s">
        <v>44</v>
      </c>
      <c r="G216" s="277">
        <v>1</v>
      </c>
      <c r="H216" s="268">
        <f t="shared" ref="H216:H221" si="85">I216+K216</f>
        <v>69.55</v>
      </c>
      <c r="I216" s="287">
        <v>8.7100000000000009</v>
      </c>
      <c r="J216" s="268">
        <f t="shared" si="78"/>
        <v>11.05</v>
      </c>
      <c r="K216" s="292">
        <v>60.84</v>
      </c>
      <c r="L216" s="268">
        <f t="shared" si="79"/>
        <v>77.19</v>
      </c>
      <c r="M216" s="268">
        <f t="shared" si="80"/>
        <v>88.24</v>
      </c>
      <c r="N216" s="268">
        <f t="shared" si="81"/>
        <v>11.05</v>
      </c>
      <c r="O216" s="268">
        <f t="shared" si="82"/>
        <v>77.19</v>
      </c>
      <c r="P216" s="268">
        <f t="shared" si="83"/>
        <v>88.24</v>
      </c>
      <c r="Q216" s="269">
        <f t="shared" si="84"/>
        <v>0</v>
      </c>
      <c r="R216" s="44"/>
      <c r="S216" s="49">
        <f t="shared" si="77"/>
        <v>69.55</v>
      </c>
      <c r="T216" s="126"/>
      <c r="U216" s="48"/>
      <c r="V216" s="48"/>
      <c r="W216" s="48"/>
      <c r="X216" s="48"/>
      <c r="Y216" s="48"/>
      <c r="Z216" s="48"/>
      <c r="AA216" s="48"/>
      <c r="AB216" s="48"/>
      <c r="AC216" s="48"/>
      <c r="AD216" s="48"/>
      <c r="AE216" s="48"/>
      <c r="AF216" s="48"/>
      <c r="AG216" s="48"/>
      <c r="AH216" s="48"/>
      <c r="AI216" s="48"/>
      <c r="AJ216" s="44"/>
      <c r="AK216" s="44"/>
      <c r="AL216" s="44"/>
    </row>
    <row r="217" spans="1:38" ht="27.6" x14ac:dyDescent="0.25">
      <c r="A217" s="94"/>
      <c r="B217" s="265" t="s">
        <v>1199</v>
      </c>
      <c r="C217" s="266">
        <v>94681</v>
      </c>
      <c r="D217" s="265" t="s">
        <v>40</v>
      </c>
      <c r="E217" s="265" t="s">
        <v>598</v>
      </c>
      <c r="F217" s="267" t="s">
        <v>44</v>
      </c>
      <c r="G217" s="277">
        <v>1</v>
      </c>
      <c r="H217" s="268">
        <f t="shared" si="85"/>
        <v>43.28</v>
      </c>
      <c r="I217" s="287">
        <v>6.24</v>
      </c>
      <c r="J217" s="268">
        <f t="shared" si="78"/>
        <v>7.92</v>
      </c>
      <c r="K217" s="292">
        <v>37.04</v>
      </c>
      <c r="L217" s="268">
        <f t="shared" si="79"/>
        <v>46.99</v>
      </c>
      <c r="M217" s="268">
        <f t="shared" si="80"/>
        <v>54.91</v>
      </c>
      <c r="N217" s="268">
        <f t="shared" si="81"/>
        <v>7.92</v>
      </c>
      <c r="O217" s="268">
        <f t="shared" si="82"/>
        <v>46.99</v>
      </c>
      <c r="P217" s="268">
        <f t="shared" si="83"/>
        <v>54.91</v>
      </c>
      <c r="Q217" s="269">
        <f t="shared" si="84"/>
        <v>0</v>
      </c>
      <c r="R217" s="44"/>
      <c r="S217" s="49">
        <f t="shared" si="77"/>
        <v>43.28</v>
      </c>
      <c r="T217" s="126"/>
      <c r="U217" s="48"/>
      <c r="V217" s="48"/>
      <c r="W217" s="48"/>
      <c r="X217" s="48"/>
      <c r="Y217" s="48"/>
      <c r="Z217" s="48"/>
      <c r="AA217" s="48"/>
      <c r="AB217" s="48"/>
      <c r="AC217" s="48"/>
      <c r="AD217" s="48"/>
      <c r="AE217" s="48"/>
      <c r="AF217" s="48"/>
      <c r="AG217" s="48"/>
      <c r="AH217" s="48"/>
      <c r="AI217" s="48"/>
      <c r="AJ217" s="44"/>
      <c r="AK217" s="44"/>
      <c r="AL217" s="44"/>
    </row>
    <row r="218" spans="1:38" ht="41.4" x14ac:dyDescent="0.25">
      <c r="A218" s="94"/>
      <c r="B218" s="265" t="s">
        <v>1200</v>
      </c>
      <c r="C218" s="266" t="s">
        <v>601</v>
      </c>
      <c r="D218" s="265" t="s">
        <v>40</v>
      </c>
      <c r="E218" s="265" t="s">
        <v>602</v>
      </c>
      <c r="F218" s="267" t="s">
        <v>44</v>
      </c>
      <c r="G218" s="277">
        <v>3</v>
      </c>
      <c r="H218" s="268">
        <f t="shared" si="85"/>
        <v>9.4</v>
      </c>
      <c r="I218" s="287">
        <v>3.09</v>
      </c>
      <c r="J218" s="268">
        <f t="shared" si="78"/>
        <v>3.92</v>
      </c>
      <c r="K218" s="292">
        <v>6.31</v>
      </c>
      <c r="L218" s="268">
        <f t="shared" si="79"/>
        <v>8.01</v>
      </c>
      <c r="M218" s="268">
        <f t="shared" si="80"/>
        <v>11.93</v>
      </c>
      <c r="N218" s="268">
        <f t="shared" si="81"/>
        <v>11.76</v>
      </c>
      <c r="O218" s="268">
        <f t="shared" si="82"/>
        <v>24.03</v>
      </c>
      <c r="P218" s="268">
        <f t="shared" si="83"/>
        <v>35.79</v>
      </c>
      <c r="Q218" s="269">
        <f t="shared" si="84"/>
        <v>0</v>
      </c>
      <c r="R218" s="44"/>
      <c r="S218" s="49">
        <f t="shared" si="77"/>
        <v>28.2</v>
      </c>
      <c r="T218" s="126"/>
      <c r="U218" s="48"/>
      <c r="V218" s="48"/>
      <c r="W218" s="48"/>
      <c r="X218" s="48"/>
      <c r="Y218" s="48"/>
      <c r="Z218" s="48"/>
      <c r="AA218" s="48"/>
      <c r="AB218" s="48"/>
      <c r="AC218" s="48"/>
      <c r="AD218" s="48"/>
      <c r="AE218" s="48"/>
      <c r="AF218" s="48"/>
      <c r="AG218" s="48"/>
      <c r="AH218" s="48"/>
      <c r="AI218" s="48"/>
      <c r="AJ218" s="44"/>
      <c r="AK218" s="44"/>
      <c r="AL218" s="44"/>
    </row>
    <row r="219" spans="1:38" ht="27.6" x14ac:dyDescent="0.25">
      <c r="A219" s="94"/>
      <c r="B219" s="265" t="s">
        <v>1201</v>
      </c>
      <c r="C219" s="266" t="s">
        <v>605</v>
      </c>
      <c r="D219" s="265" t="s">
        <v>40</v>
      </c>
      <c r="E219" s="265" t="s">
        <v>606</v>
      </c>
      <c r="F219" s="267" t="s">
        <v>44</v>
      </c>
      <c r="G219" s="277">
        <v>18</v>
      </c>
      <c r="H219" s="268">
        <f t="shared" si="85"/>
        <v>24.39</v>
      </c>
      <c r="I219" s="287">
        <v>7.6</v>
      </c>
      <c r="J219" s="268">
        <f t="shared" si="78"/>
        <v>9.64</v>
      </c>
      <c r="K219" s="292">
        <v>16.79</v>
      </c>
      <c r="L219" s="268">
        <f t="shared" si="79"/>
        <v>21.3</v>
      </c>
      <c r="M219" s="268">
        <f t="shared" si="80"/>
        <v>30.94</v>
      </c>
      <c r="N219" s="268">
        <f t="shared" si="81"/>
        <v>173.52</v>
      </c>
      <c r="O219" s="268">
        <f t="shared" si="82"/>
        <v>383.4</v>
      </c>
      <c r="P219" s="268">
        <f t="shared" si="83"/>
        <v>556.91999999999996</v>
      </c>
      <c r="Q219" s="269">
        <f t="shared" si="84"/>
        <v>2.0000000000000001E-4</v>
      </c>
      <c r="R219" s="44"/>
      <c r="S219" s="49">
        <f t="shared" si="77"/>
        <v>439.02</v>
      </c>
      <c r="T219" s="126"/>
      <c r="U219" s="48"/>
      <c r="V219" s="48"/>
      <c r="W219" s="48"/>
      <c r="X219" s="48"/>
      <c r="Y219" s="48"/>
      <c r="Z219" s="48"/>
      <c r="AA219" s="48"/>
      <c r="AB219" s="48"/>
      <c r="AC219" s="48"/>
      <c r="AD219" s="48"/>
      <c r="AE219" s="48"/>
      <c r="AF219" s="48"/>
      <c r="AG219" s="48"/>
      <c r="AH219" s="48"/>
      <c r="AI219" s="48"/>
      <c r="AJ219" s="44"/>
      <c r="AK219" s="44"/>
      <c r="AL219" s="44"/>
    </row>
    <row r="220" spans="1:38" ht="27.6" x14ac:dyDescent="0.25">
      <c r="A220" s="94"/>
      <c r="B220" s="265" t="s">
        <v>1202</v>
      </c>
      <c r="C220" s="266" t="s">
        <v>607</v>
      </c>
      <c r="D220" s="265" t="s">
        <v>40</v>
      </c>
      <c r="E220" s="265" t="s">
        <v>608</v>
      </c>
      <c r="F220" s="267" t="s">
        <v>55</v>
      </c>
      <c r="G220" s="277">
        <v>100.9</v>
      </c>
      <c r="H220" s="268">
        <f t="shared" si="85"/>
        <v>26.53</v>
      </c>
      <c r="I220" s="287">
        <v>8.8800000000000008</v>
      </c>
      <c r="J220" s="268">
        <f t="shared" si="78"/>
        <v>11.27</v>
      </c>
      <c r="K220" s="292">
        <v>17.649999999999999</v>
      </c>
      <c r="L220" s="268">
        <f t="shared" si="79"/>
        <v>22.39</v>
      </c>
      <c r="M220" s="268">
        <f t="shared" si="80"/>
        <v>33.659999999999997</v>
      </c>
      <c r="N220" s="268">
        <f t="shared" si="81"/>
        <v>1137.1400000000001</v>
      </c>
      <c r="O220" s="268">
        <f t="shared" si="82"/>
        <v>2259.15</v>
      </c>
      <c r="P220" s="268">
        <f t="shared" si="83"/>
        <v>3396.29</v>
      </c>
      <c r="Q220" s="269">
        <f t="shared" si="84"/>
        <v>1.2999999999999999E-3</v>
      </c>
      <c r="R220" s="44"/>
      <c r="S220" s="49">
        <f t="shared" si="77"/>
        <v>2676.88</v>
      </c>
      <c r="T220" s="126"/>
      <c r="U220" s="48"/>
      <c r="V220" s="48"/>
      <c r="W220" s="48"/>
      <c r="X220" s="48"/>
      <c r="Y220" s="48"/>
      <c r="Z220" s="48"/>
      <c r="AA220" s="48"/>
      <c r="AB220" s="48"/>
      <c r="AC220" s="48"/>
      <c r="AD220" s="48"/>
      <c r="AE220" s="48"/>
      <c r="AF220" s="48"/>
      <c r="AG220" s="48"/>
      <c r="AH220" s="48"/>
      <c r="AI220" s="48"/>
      <c r="AJ220" s="44"/>
      <c r="AK220" s="44"/>
      <c r="AL220" s="44"/>
    </row>
    <row r="221" spans="1:38" ht="27.6" x14ac:dyDescent="0.25">
      <c r="A221" s="94"/>
      <c r="B221" s="265" t="s">
        <v>1203</v>
      </c>
      <c r="C221" s="266" t="s">
        <v>609</v>
      </c>
      <c r="D221" s="265" t="s">
        <v>40</v>
      </c>
      <c r="E221" s="265" t="s">
        <v>610</v>
      </c>
      <c r="F221" s="267" t="s">
        <v>44</v>
      </c>
      <c r="G221" s="277">
        <v>5</v>
      </c>
      <c r="H221" s="268">
        <f t="shared" si="85"/>
        <v>27.76</v>
      </c>
      <c r="I221" s="287">
        <v>8.65</v>
      </c>
      <c r="J221" s="268">
        <f t="shared" si="78"/>
        <v>10.97</v>
      </c>
      <c r="K221" s="292">
        <v>19.11</v>
      </c>
      <c r="L221" s="268">
        <f t="shared" si="79"/>
        <v>24.24</v>
      </c>
      <c r="M221" s="268">
        <f t="shared" si="80"/>
        <v>35.21</v>
      </c>
      <c r="N221" s="268">
        <f t="shared" si="81"/>
        <v>54.85</v>
      </c>
      <c r="O221" s="268">
        <f t="shared" si="82"/>
        <v>121.2</v>
      </c>
      <c r="P221" s="268">
        <f t="shared" si="83"/>
        <v>176.05</v>
      </c>
      <c r="Q221" s="269">
        <f t="shared" si="84"/>
        <v>1E-4</v>
      </c>
      <c r="R221" s="44"/>
      <c r="S221" s="49">
        <f t="shared" si="77"/>
        <v>138.80000000000001</v>
      </c>
      <c r="T221" s="126"/>
      <c r="U221" s="48"/>
      <c r="V221" s="48"/>
      <c r="W221" s="48"/>
      <c r="X221" s="48"/>
      <c r="Y221" s="48"/>
      <c r="Z221" s="48"/>
      <c r="AA221" s="48"/>
      <c r="AB221" s="48"/>
      <c r="AC221" s="48"/>
      <c r="AD221" s="48"/>
      <c r="AE221" s="48"/>
      <c r="AF221" s="48"/>
      <c r="AG221" s="48"/>
      <c r="AH221" s="48"/>
      <c r="AI221" s="48"/>
      <c r="AJ221" s="44"/>
      <c r="AK221" s="44"/>
      <c r="AL221" s="44"/>
    </row>
    <row r="222" spans="1:38" x14ac:dyDescent="0.25">
      <c r="A222" s="94"/>
      <c r="B222" s="265" t="s">
        <v>1204</v>
      </c>
      <c r="C222" s="266" t="s">
        <v>850</v>
      </c>
      <c r="D222" s="265" t="s">
        <v>199</v>
      </c>
      <c r="E222" s="265" t="s">
        <v>851</v>
      </c>
      <c r="F222" s="267" t="s">
        <v>393</v>
      </c>
      <c r="G222" s="277">
        <v>1</v>
      </c>
      <c r="H222" s="268">
        <v>1039.18</v>
      </c>
      <c r="I222" s="287">
        <f>22.28+32.5</f>
        <v>54.78</v>
      </c>
      <c r="J222" s="268">
        <f t="shared" si="78"/>
        <v>69.5</v>
      </c>
      <c r="K222" s="292">
        <f>H222-I222</f>
        <v>984.4</v>
      </c>
      <c r="L222" s="268">
        <f t="shared" si="79"/>
        <v>1248.9100000000001</v>
      </c>
      <c r="M222" s="268">
        <f t="shared" si="80"/>
        <v>1318.41</v>
      </c>
      <c r="N222" s="268">
        <f t="shared" si="81"/>
        <v>69.5</v>
      </c>
      <c r="O222" s="268">
        <f t="shared" si="82"/>
        <v>1248.9100000000001</v>
      </c>
      <c r="P222" s="268">
        <f t="shared" si="83"/>
        <v>1318.41</v>
      </c>
      <c r="Q222" s="269">
        <f t="shared" si="84"/>
        <v>5.0000000000000001E-4</v>
      </c>
      <c r="R222" s="44"/>
      <c r="S222" s="49">
        <f t="shared" si="77"/>
        <v>1039.18</v>
      </c>
      <c r="T222" s="126"/>
      <c r="U222" s="48"/>
      <c r="V222" s="48"/>
      <c r="W222" s="48"/>
      <c r="X222" s="48"/>
      <c r="Y222" s="48"/>
      <c r="Z222" s="48"/>
      <c r="AA222" s="48"/>
      <c r="AB222" s="48"/>
      <c r="AC222" s="48"/>
      <c r="AD222" s="48"/>
      <c r="AE222" s="48"/>
      <c r="AF222" s="48"/>
      <c r="AG222" s="48"/>
      <c r="AH222" s="48"/>
      <c r="AI222" s="48"/>
      <c r="AJ222" s="44"/>
      <c r="AK222" s="44"/>
      <c r="AL222" s="44"/>
    </row>
    <row r="223" spans="1:38" x14ac:dyDescent="0.25">
      <c r="A223" s="94"/>
      <c r="B223" s="265" t="s">
        <v>1205</v>
      </c>
      <c r="C223" s="266" t="s">
        <v>395</v>
      </c>
      <c r="D223" s="265" t="s">
        <v>40</v>
      </c>
      <c r="E223" s="265" t="s">
        <v>396</v>
      </c>
      <c r="F223" s="267" t="s">
        <v>44</v>
      </c>
      <c r="G223" s="277">
        <v>1</v>
      </c>
      <c r="H223" s="268">
        <f t="shared" ref="H223:H244" si="86">I223+K223</f>
        <v>39.549999999999997</v>
      </c>
      <c r="I223" s="287">
        <v>3.65</v>
      </c>
      <c r="J223" s="268">
        <f t="shared" si="78"/>
        <v>4.63</v>
      </c>
      <c r="K223" s="292">
        <v>35.9</v>
      </c>
      <c r="L223" s="268">
        <f t="shared" si="79"/>
        <v>45.55</v>
      </c>
      <c r="M223" s="268">
        <f t="shared" si="80"/>
        <v>50.18</v>
      </c>
      <c r="N223" s="268">
        <f t="shared" si="81"/>
        <v>4.63</v>
      </c>
      <c r="O223" s="268">
        <f t="shared" si="82"/>
        <v>45.55</v>
      </c>
      <c r="P223" s="268">
        <f t="shared" si="83"/>
        <v>50.18</v>
      </c>
      <c r="Q223" s="269">
        <f t="shared" si="84"/>
        <v>0</v>
      </c>
      <c r="R223" s="44"/>
      <c r="S223" s="49">
        <f t="shared" si="77"/>
        <v>39.549999999999997</v>
      </c>
      <c r="T223" s="126"/>
      <c r="U223" s="48"/>
      <c r="V223" s="48"/>
      <c r="W223" s="48"/>
      <c r="X223" s="48"/>
      <c r="Y223" s="48"/>
      <c r="Z223" s="48"/>
      <c r="AA223" s="48"/>
      <c r="AB223" s="48"/>
      <c r="AC223" s="48"/>
      <c r="AD223" s="48"/>
      <c r="AE223" s="48"/>
      <c r="AF223" s="48"/>
      <c r="AG223" s="48"/>
      <c r="AH223" s="48"/>
      <c r="AI223" s="48"/>
      <c r="AJ223" s="44"/>
      <c r="AK223" s="44"/>
      <c r="AL223" s="44"/>
    </row>
    <row r="224" spans="1:38" ht="27.6" x14ac:dyDescent="0.25">
      <c r="A224" s="94"/>
      <c r="B224" s="265" t="s">
        <v>1206</v>
      </c>
      <c r="C224" s="266" t="s">
        <v>173</v>
      </c>
      <c r="D224" s="265" t="s">
        <v>40</v>
      </c>
      <c r="E224" s="265" t="s">
        <v>174</v>
      </c>
      <c r="F224" s="267" t="s">
        <v>44</v>
      </c>
      <c r="G224" s="277">
        <v>1</v>
      </c>
      <c r="H224" s="268">
        <f t="shared" si="86"/>
        <v>167.17</v>
      </c>
      <c r="I224" s="287">
        <v>12.39</v>
      </c>
      <c r="J224" s="268">
        <f t="shared" si="78"/>
        <v>15.72</v>
      </c>
      <c r="K224" s="292">
        <v>154.78</v>
      </c>
      <c r="L224" s="268">
        <f t="shared" si="79"/>
        <v>196.37</v>
      </c>
      <c r="M224" s="268">
        <f t="shared" si="80"/>
        <v>212.09</v>
      </c>
      <c r="N224" s="268">
        <f t="shared" si="81"/>
        <v>15.72</v>
      </c>
      <c r="O224" s="268">
        <f t="shared" si="82"/>
        <v>196.37</v>
      </c>
      <c r="P224" s="268">
        <f t="shared" si="83"/>
        <v>212.09</v>
      </c>
      <c r="Q224" s="269">
        <f t="shared" si="84"/>
        <v>1E-4</v>
      </c>
      <c r="R224" s="44"/>
      <c r="S224" s="49">
        <f t="shared" si="77"/>
        <v>167.17</v>
      </c>
      <c r="T224" s="126"/>
      <c r="U224" s="48"/>
      <c r="V224" s="48"/>
      <c r="W224" s="48"/>
      <c r="X224" s="48"/>
      <c r="Y224" s="48"/>
      <c r="Z224" s="48"/>
      <c r="AA224" s="48"/>
      <c r="AB224" s="48"/>
      <c r="AC224" s="48"/>
      <c r="AD224" s="48"/>
      <c r="AE224" s="48"/>
      <c r="AF224" s="48"/>
      <c r="AG224" s="48"/>
      <c r="AH224" s="48"/>
      <c r="AI224" s="48"/>
      <c r="AJ224" s="44"/>
      <c r="AK224" s="44"/>
      <c r="AL224" s="44"/>
    </row>
    <row r="225" spans="1:38" ht="27.6" x14ac:dyDescent="0.25">
      <c r="A225" s="94"/>
      <c r="B225" s="265" t="s">
        <v>1207</v>
      </c>
      <c r="C225" s="266" t="s">
        <v>171</v>
      </c>
      <c r="D225" s="265" t="s">
        <v>40</v>
      </c>
      <c r="E225" s="265" t="s">
        <v>172</v>
      </c>
      <c r="F225" s="267" t="s">
        <v>44</v>
      </c>
      <c r="G225" s="277">
        <v>28</v>
      </c>
      <c r="H225" s="268">
        <f t="shared" si="86"/>
        <v>94.35</v>
      </c>
      <c r="I225" s="287">
        <v>7.32</v>
      </c>
      <c r="J225" s="268">
        <f t="shared" si="78"/>
        <v>9.2899999999999991</v>
      </c>
      <c r="K225" s="292">
        <v>87.03</v>
      </c>
      <c r="L225" s="268">
        <f t="shared" si="79"/>
        <v>110.41</v>
      </c>
      <c r="M225" s="268">
        <f t="shared" si="80"/>
        <v>119.7</v>
      </c>
      <c r="N225" s="268">
        <f t="shared" si="81"/>
        <v>260.12</v>
      </c>
      <c r="O225" s="268">
        <f t="shared" si="82"/>
        <v>3091.48</v>
      </c>
      <c r="P225" s="268">
        <f t="shared" si="83"/>
        <v>3351.6</v>
      </c>
      <c r="Q225" s="269">
        <f t="shared" si="84"/>
        <v>1.2999999999999999E-3</v>
      </c>
      <c r="R225" s="44"/>
      <c r="S225" s="49">
        <f t="shared" si="77"/>
        <v>2641.8</v>
      </c>
      <c r="T225" s="126"/>
      <c r="U225" s="48"/>
      <c r="V225" s="48"/>
      <c r="W225" s="48"/>
      <c r="X225" s="48"/>
      <c r="Y225" s="48"/>
      <c r="Z225" s="48"/>
      <c r="AA225" s="48"/>
      <c r="AB225" s="48"/>
      <c r="AC225" s="48"/>
      <c r="AD225" s="48"/>
      <c r="AE225" s="48"/>
      <c r="AF225" s="48"/>
      <c r="AG225" s="48"/>
      <c r="AH225" s="48"/>
      <c r="AI225" s="48"/>
      <c r="AJ225" s="44"/>
      <c r="AK225" s="44"/>
      <c r="AL225" s="44"/>
    </row>
    <row r="226" spans="1:38" ht="27.6" x14ac:dyDescent="0.25">
      <c r="A226" s="94"/>
      <c r="B226" s="265" t="s">
        <v>1208</v>
      </c>
      <c r="C226" s="266" t="s">
        <v>169</v>
      </c>
      <c r="D226" s="265" t="s">
        <v>40</v>
      </c>
      <c r="E226" s="265" t="s">
        <v>170</v>
      </c>
      <c r="F226" s="267" t="s">
        <v>44</v>
      </c>
      <c r="G226" s="277">
        <v>3</v>
      </c>
      <c r="H226" s="268">
        <f t="shared" si="86"/>
        <v>89.52</v>
      </c>
      <c r="I226" s="287">
        <v>7.32</v>
      </c>
      <c r="J226" s="268">
        <f t="shared" si="78"/>
        <v>9.2899999999999991</v>
      </c>
      <c r="K226" s="292">
        <v>82.2</v>
      </c>
      <c r="L226" s="268">
        <f t="shared" si="79"/>
        <v>104.29</v>
      </c>
      <c r="M226" s="268">
        <f t="shared" si="80"/>
        <v>113.58</v>
      </c>
      <c r="N226" s="268">
        <f t="shared" si="81"/>
        <v>27.87</v>
      </c>
      <c r="O226" s="268">
        <f t="shared" si="82"/>
        <v>312.87</v>
      </c>
      <c r="P226" s="268">
        <f t="shared" si="83"/>
        <v>340.74</v>
      </c>
      <c r="Q226" s="269">
        <f t="shared" si="84"/>
        <v>1E-4</v>
      </c>
      <c r="R226" s="44"/>
      <c r="S226" s="49">
        <f t="shared" si="77"/>
        <v>268.56</v>
      </c>
      <c r="T226" s="126"/>
      <c r="U226" s="48"/>
      <c r="V226" s="48"/>
      <c r="W226" s="48"/>
      <c r="X226" s="48"/>
      <c r="Y226" s="48"/>
      <c r="Z226" s="48"/>
      <c r="AA226" s="48"/>
      <c r="AB226" s="48"/>
      <c r="AC226" s="48"/>
      <c r="AD226" s="48"/>
      <c r="AE226" s="48"/>
      <c r="AF226" s="48"/>
      <c r="AG226" s="48"/>
      <c r="AH226" s="48"/>
      <c r="AI226" s="48"/>
      <c r="AJ226" s="44"/>
      <c r="AK226" s="44"/>
      <c r="AL226" s="44"/>
    </row>
    <row r="227" spans="1:38" ht="27.6" x14ac:dyDescent="0.25">
      <c r="A227" s="94"/>
      <c r="B227" s="265" t="s">
        <v>1209</v>
      </c>
      <c r="C227" s="266" t="s">
        <v>614</v>
      </c>
      <c r="D227" s="265" t="s">
        <v>40</v>
      </c>
      <c r="E227" s="265" t="s">
        <v>615</v>
      </c>
      <c r="F227" s="267" t="s">
        <v>55</v>
      </c>
      <c r="G227" s="277">
        <v>2</v>
      </c>
      <c r="H227" s="268">
        <f t="shared" si="86"/>
        <v>54.06</v>
      </c>
      <c r="I227" s="287">
        <v>6.41</v>
      </c>
      <c r="J227" s="268">
        <f t="shared" si="78"/>
        <v>8.1300000000000008</v>
      </c>
      <c r="K227" s="292">
        <v>47.65</v>
      </c>
      <c r="L227" s="268">
        <f t="shared" si="79"/>
        <v>60.45</v>
      </c>
      <c r="M227" s="268">
        <f t="shared" si="80"/>
        <v>68.58</v>
      </c>
      <c r="N227" s="268">
        <f t="shared" si="81"/>
        <v>16.260000000000002</v>
      </c>
      <c r="O227" s="268">
        <f t="shared" si="82"/>
        <v>120.9</v>
      </c>
      <c r="P227" s="268">
        <f t="shared" si="83"/>
        <v>137.16</v>
      </c>
      <c r="Q227" s="269">
        <f t="shared" si="84"/>
        <v>1E-4</v>
      </c>
      <c r="R227" s="44"/>
      <c r="S227" s="49">
        <f t="shared" si="77"/>
        <v>108.12</v>
      </c>
      <c r="T227" s="126"/>
      <c r="U227" s="48"/>
      <c r="V227" s="48"/>
      <c r="W227" s="48"/>
      <c r="X227" s="48"/>
      <c r="Y227" s="48"/>
      <c r="Z227" s="48"/>
      <c r="AA227" s="48"/>
      <c r="AB227" s="48"/>
      <c r="AC227" s="48"/>
      <c r="AD227" s="48"/>
      <c r="AE227" s="48"/>
      <c r="AF227" s="48"/>
      <c r="AG227" s="48"/>
      <c r="AH227" s="48"/>
      <c r="AI227" s="48"/>
      <c r="AJ227" s="44"/>
      <c r="AK227" s="44"/>
      <c r="AL227" s="44"/>
    </row>
    <row r="228" spans="1:38" ht="27.6" x14ac:dyDescent="0.25">
      <c r="A228" s="94"/>
      <c r="B228" s="265" t="s">
        <v>1210</v>
      </c>
      <c r="C228" s="266" t="s">
        <v>616</v>
      </c>
      <c r="D228" s="265" t="s">
        <v>40</v>
      </c>
      <c r="E228" s="265" t="s">
        <v>617</v>
      </c>
      <c r="F228" s="267" t="s">
        <v>55</v>
      </c>
      <c r="G228" s="277">
        <v>1</v>
      </c>
      <c r="H228" s="268">
        <f t="shared" si="86"/>
        <v>95.03</v>
      </c>
      <c r="I228" s="287">
        <v>10.130000000000001</v>
      </c>
      <c r="J228" s="268">
        <f t="shared" si="78"/>
        <v>12.85</v>
      </c>
      <c r="K228" s="292">
        <v>84.9</v>
      </c>
      <c r="L228" s="268">
        <f t="shared" si="79"/>
        <v>107.71</v>
      </c>
      <c r="M228" s="268">
        <f t="shared" si="80"/>
        <v>120.56</v>
      </c>
      <c r="N228" s="268">
        <f t="shared" si="81"/>
        <v>12.85</v>
      </c>
      <c r="O228" s="268">
        <f t="shared" si="82"/>
        <v>107.71</v>
      </c>
      <c r="P228" s="268">
        <f t="shared" si="83"/>
        <v>120.56</v>
      </c>
      <c r="Q228" s="269">
        <f t="shared" si="84"/>
        <v>0</v>
      </c>
      <c r="R228" s="44"/>
      <c r="S228" s="49">
        <f t="shared" si="77"/>
        <v>95.03</v>
      </c>
      <c r="T228" s="126"/>
      <c r="U228" s="48"/>
      <c r="V228" s="48"/>
      <c r="W228" s="48"/>
      <c r="X228" s="48"/>
      <c r="Y228" s="48"/>
      <c r="Z228" s="48"/>
      <c r="AA228" s="48"/>
      <c r="AB228" s="48"/>
      <c r="AC228" s="48"/>
      <c r="AD228" s="48"/>
      <c r="AE228" s="48"/>
      <c r="AF228" s="48"/>
      <c r="AG228" s="48"/>
      <c r="AH228" s="48"/>
      <c r="AI228" s="48"/>
      <c r="AJ228" s="44"/>
      <c r="AK228" s="44"/>
      <c r="AL228" s="44"/>
    </row>
    <row r="229" spans="1:38" ht="27.6" x14ac:dyDescent="0.25">
      <c r="A229" s="94"/>
      <c r="B229" s="265" t="s">
        <v>1211</v>
      </c>
      <c r="C229" s="266" t="s">
        <v>618</v>
      </c>
      <c r="D229" s="265" t="s">
        <v>40</v>
      </c>
      <c r="E229" s="265" t="s">
        <v>619</v>
      </c>
      <c r="F229" s="267" t="s">
        <v>44</v>
      </c>
      <c r="G229" s="277">
        <v>3</v>
      </c>
      <c r="H229" s="268">
        <f t="shared" si="86"/>
        <v>6.11</v>
      </c>
      <c r="I229" s="287">
        <v>3.15</v>
      </c>
      <c r="J229" s="268">
        <f t="shared" si="78"/>
        <v>4</v>
      </c>
      <c r="K229" s="292">
        <v>2.96</v>
      </c>
      <c r="L229" s="268">
        <f t="shared" si="79"/>
        <v>3.76</v>
      </c>
      <c r="M229" s="268">
        <f t="shared" si="80"/>
        <v>7.76</v>
      </c>
      <c r="N229" s="268">
        <f t="shared" si="81"/>
        <v>12</v>
      </c>
      <c r="O229" s="268">
        <f t="shared" si="82"/>
        <v>11.28</v>
      </c>
      <c r="P229" s="268">
        <f t="shared" si="83"/>
        <v>23.28</v>
      </c>
      <c r="Q229" s="269">
        <f t="shared" si="84"/>
        <v>0</v>
      </c>
      <c r="R229" s="44"/>
      <c r="S229" s="49">
        <f t="shared" si="77"/>
        <v>18.329999999999998</v>
      </c>
      <c r="T229" s="126"/>
      <c r="U229" s="48"/>
      <c r="V229" s="48"/>
      <c r="W229" s="48"/>
      <c r="X229" s="48"/>
      <c r="Y229" s="48"/>
      <c r="Z229" s="48"/>
      <c r="AA229" s="48"/>
      <c r="AB229" s="48"/>
      <c r="AC229" s="48"/>
      <c r="AD229" s="48"/>
      <c r="AE229" s="48"/>
      <c r="AF229" s="48"/>
      <c r="AG229" s="48"/>
      <c r="AH229" s="48"/>
      <c r="AI229" s="48"/>
      <c r="AJ229" s="44"/>
      <c r="AK229" s="44"/>
      <c r="AL229" s="44"/>
    </row>
    <row r="230" spans="1:38" ht="27.6" x14ac:dyDescent="0.25">
      <c r="A230" s="94"/>
      <c r="B230" s="265" t="s">
        <v>1212</v>
      </c>
      <c r="C230" s="266">
        <v>89593</v>
      </c>
      <c r="D230" s="265" t="s">
        <v>40</v>
      </c>
      <c r="E230" s="265" t="s">
        <v>620</v>
      </c>
      <c r="F230" s="267" t="s">
        <v>44</v>
      </c>
      <c r="G230" s="277">
        <v>2</v>
      </c>
      <c r="H230" s="268">
        <f t="shared" si="86"/>
        <v>22.14</v>
      </c>
      <c r="I230" s="287">
        <v>2.42</v>
      </c>
      <c r="J230" s="268">
        <f t="shared" si="78"/>
        <v>3.07</v>
      </c>
      <c r="K230" s="292">
        <v>19.72</v>
      </c>
      <c r="L230" s="268">
        <f t="shared" si="79"/>
        <v>25.02</v>
      </c>
      <c r="M230" s="268">
        <f t="shared" si="80"/>
        <v>28.09</v>
      </c>
      <c r="N230" s="268">
        <f t="shared" si="81"/>
        <v>6.14</v>
      </c>
      <c r="O230" s="268">
        <f t="shared" si="82"/>
        <v>50.04</v>
      </c>
      <c r="P230" s="268">
        <f t="shared" si="83"/>
        <v>56.18</v>
      </c>
      <c r="Q230" s="269">
        <f t="shared" si="84"/>
        <v>0</v>
      </c>
      <c r="R230" s="44"/>
      <c r="S230" s="49">
        <f t="shared" si="77"/>
        <v>44.28</v>
      </c>
      <c r="T230" s="126"/>
      <c r="U230" s="48"/>
      <c r="V230" s="48"/>
      <c r="W230" s="48"/>
      <c r="X230" s="48"/>
      <c r="Y230" s="48"/>
      <c r="Z230" s="48"/>
      <c r="AA230" s="48"/>
      <c r="AB230" s="48"/>
      <c r="AC230" s="48"/>
      <c r="AD230" s="48"/>
      <c r="AE230" s="48"/>
      <c r="AF230" s="48"/>
      <c r="AG230" s="48"/>
      <c r="AH230" s="48"/>
      <c r="AI230" s="48"/>
      <c r="AJ230" s="44"/>
      <c r="AK230" s="44"/>
      <c r="AL230" s="44"/>
    </row>
    <row r="231" spans="1:38" ht="41.4" x14ac:dyDescent="0.25">
      <c r="A231" s="94"/>
      <c r="B231" s="265" t="s">
        <v>1213</v>
      </c>
      <c r="C231" s="266" t="s">
        <v>621</v>
      </c>
      <c r="D231" s="265" t="s">
        <v>40</v>
      </c>
      <c r="E231" s="265" t="s">
        <v>622</v>
      </c>
      <c r="F231" s="267" t="s">
        <v>44</v>
      </c>
      <c r="G231" s="277">
        <v>61</v>
      </c>
      <c r="H231" s="268">
        <f t="shared" si="86"/>
        <v>2.96</v>
      </c>
      <c r="I231" s="287">
        <v>1.27</v>
      </c>
      <c r="J231" s="268">
        <f t="shared" si="78"/>
        <v>1.61</v>
      </c>
      <c r="K231" s="292">
        <v>1.69</v>
      </c>
      <c r="L231" s="268">
        <f t="shared" si="79"/>
        <v>2.14</v>
      </c>
      <c r="M231" s="268">
        <f t="shared" si="80"/>
        <v>3.75</v>
      </c>
      <c r="N231" s="268">
        <f t="shared" si="81"/>
        <v>98.21</v>
      </c>
      <c r="O231" s="268">
        <f t="shared" si="82"/>
        <v>130.54</v>
      </c>
      <c r="P231" s="268">
        <f t="shared" si="83"/>
        <v>228.75</v>
      </c>
      <c r="Q231" s="269">
        <f t="shared" si="84"/>
        <v>1E-4</v>
      </c>
      <c r="R231" s="44"/>
      <c r="S231" s="49">
        <f t="shared" si="77"/>
        <v>180.56</v>
      </c>
      <c r="T231" s="126"/>
      <c r="U231" s="48"/>
      <c r="V231" s="48"/>
      <c r="W231" s="48"/>
      <c r="X231" s="48"/>
      <c r="Y231" s="48"/>
      <c r="Z231" s="48"/>
      <c r="AA231" s="48"/>
      <c r="AB231" s="48"/>
      <c r="AC231" s="48"/>
      <c r="AD231" s="48"/>
      <c r="AE231" s="48"/>
      <c r="AF231" s="48"/>
      <c r="AG231" s="48"/>
      <c r="AH231" s="48"/>
      <c r="AI231" s="48"/>
      <c r="AJ231" s="44"/>
      <c r="AK231" s="44"/>
      <c r="AL231" s="44"/>
    </row>
    <row r="232" spans="1:38" ht="27.6" x14ac:dyDescent="0.25">
      <c r="A232" s="94"/>
      <c r="B232" s="265" t="s">
        <v>1214</v>
      </c>
      <c r="C232" s="266" t="s">
        <v>623</v>
      </c>
      <c r="D232" s="265" t="s">
        <v>40</v>
      </c>
      <c r="E232" s="265" t="s">
        <v>1075</v>
      </c>
      <c r="F232" s="267" t="s">
        <v>44</v>
      </c>
      <c r="G232" s="277">
        <v>1</v>
      </c>
      <c r="H232" s="268">
        <f t="shared" si="86"/>
        <v>15.31</v>
      </c>
      <c r="I232" s="287">
        <v>4.32</v>
      </c>
      <c r="J232" s="268">
        <f t="shared" si="78"/>
        <v>5.48</v>
      </c>
      <c r="K232" s="292">
        <v>10.99</v>
      </c>
      <c r="L232" s="268">
        <f t="shared" si="79"/>
        <v>13.94</v>
      </c>
      <c r="M232" s="268">
        <f t="shared" si="80"/>
        <v>19.420000000000002</v>
      </c>
      <c r="N232" s="268">
        <f t="shared" si="81"/>
        <v>5.48</v>
      </c>
      <c r="O232" s="268">
        <f t="shared" si="82"/>
        <v>13.94</v>
      </c>
      <c r="P232" s="268">
        <f t="shared" si="83"/>
        <v>19.420000000000002</v>
      </c>
      <c r="Q232" s="269">
        <f t="shared" si="84"/>
        <v>0</v>
      </c>
      <c r="R232" s="44"/>
      <c r="S232" s="49">
        <f t="shared" si="77"/>
        <v>15.31</v>
      </c>
      <c r="T232" s="126"/>
      <c r="U232" s="48"/>
      <c r="V232" s="48"/>
      <c r="W232" s="48"/>
      <c r="X232" s="48"/>
      <c r="Y232" s="48"/>
      <c r="Z232" s="48"/>
      <c r="AA232" s="48"/>
      <c r="AB232" s="48"/>
      <c r="AC232" s="48"/>
      <c r="AD232" s="48"/>
      <c r="AE232" s="48"/>
      <c r="AF232" s="48"/>
      <c r="AG232" s="48"/>
      <c r="AH232" s="48"/>
      <c r="AI232" s="48"/>
      <c r="AJ232" s="44"/>
      <c r="AK232" s="44"/>
      <c r="AL232" s="44"/>
    </row>
    <row r="233" spans="1:38" ht="27.6" customHeight="1" x14ac:dyDescent="0.25">
      <c r="A233" s="94"/>
      <c r="B233" s="265" t="s">
        <v>1215</v>
      </c>
      <c r="C233" s="266" t="s">
        <v>624</v>
      </c>
      <c r="D233" s="265" t="s">
        <v>40</v>
      </c>
      <c r="E233" s="265" t="s">
        <v>625</v>
      </c>
      <c r="F233" s="267" t="s">
        <v>44</v>
      </c>
      <c r="G233" s="277">
        <v>4</v>
      </c>
      <c r="H233" s="268">
        <f t="shared" si="86"/>
        <v>8.43</v>
      </c>
      <c r="I233" s="287">
        <v>2.1800000000000002</v>
      </c>
      <c r="J233" s="268">
        <f t="shared" si="78"/>
        <v>2.77</v>
      </c>
      <c r="K233" s="292">
        <v>6.25</v>
      </c>
      <c r="L233" s="268">
        <f t="shared" si="79"/>
        <v>7.93</v>
      </c>
      <c r="M233" s="268">
        <f t="shared" si="80"/>
        <v>10.7</v>
      </c>
      <c r="N233" s="268">
        <f t="shared" si="81"/>
        <v>11.08</v>
      </c>
      <c r="O233" s="268">
        <f t="shared" si="82"/>
        <v>31.72</v>
      </c>
      <c r="P233" s="268">
        <f t="shared" si="83"/>
        <v>42.8</v>
      </c>
      <c r="Q233" s="269">
        <f t="shared" si="84"/>
        <v>0</v>
      </c>
      <c r="R233" s="44"/>
      <c r="S233" s="49">
        <f t="shared" si="77"/>
        <v>33.72</v>
      </c>
      <c r="T233" s="126"/>
      <c r="U233" s="48"/>
      <c r="V233" s="48"/>
      <c r="W233" s="48"/>
      <c r="X233" s="48"/>
      <c r="Y233" s="48"/>
      <c r="Z233" s="48"/>
      <c r="AA233" s="48"/>
      <c r="AB233" s="48"/>
      <c r="AC233" s="48"/>
      <c r="AD233" s="48"/>
      <c r="AE233" s="48"/>
      <c r="AF233" s="48"/>
      <c r="AG233" s="48"/>
      <c r="AH233" s="48"/>
      <c r="AI233" s="48"/>
      <c r="AJ233" s="44"/>
      <c r="AK233" s="44"/>
      <c r="AL233" s="44"/>
    </row>
    <row r="234" spans="1:38" ht="27.6" x14ac:dyDescent="0.25">
      <c r="A234" s="94"/>
      <c r="B234" s="265" t="s">
        <v>1216</v>
      </c>
      <c r="C234" s="266" t="s">
        <v>626</v>
      </c>
      <c r="D234" s="265" t="s">
        <v>40</v>
      </c>
      <c r="E234" s="265" t="s">
        <v>627</v>
      </c>
      <c r="F234" s="267" t="s">
        <v>44</v>
      </c>
      <c r="G234" s="277">
        <v>86</v>
      </c>
      <c r="H234" s="268">
        <f t="shared" si="86"/>
        <v>6.7</v>
      </c>
      <c r="I234" s="287">
        <v>2.33</v>
      </c>
      <c r="J234" s="268">
        <f t="shared" si="78"/>
        <v>2.96</v>
      </c>
      <c r="K234" s="292">
        <v>4.37</v>
      </c>
      <c r="L234" s="268">
        <f t="shared" si="79"/>
        <v>5.54</v>
      </c>
      <c r="M234" s="268">
        <f t="shared" si="80"/>
        <v>8.5</v>
      </c>
      <c r="N234" s="268">
        <f t="shared" si="81"/>
        <v>254.56</v>
      </c>
      <c r="O234" s="268">
        <f t="shared" si="82"/>
        <v>476.44</v>
      </c>
      <c r="P234" s="268">
        <f t="shared" si="83"/>
        <v>731</v>
      </c>
      <c r="Q234" s="269">
        <f t="shared" si="84"/>
        <v>2.9999999999999997E-4</v>
      </c>
      <c r="R234" s="44"/>
      <c r="S234" s="49">
        <f t="shared" si="77"/>
        <v>576.20000000000005</v>
      </c>
      <c r="T234" s="126"/>
      <c r="U234" s="48"/>
      <c r="V234" s="48"/>
      <c r="W234" s="48"/>
      <c r="X234" s="48"/>
      <c r="Y234" s="48"/>
      <c r="Z234" s="48"/>
      <c r="AA234" s="48"/>
      <c r="AB234" s="48"/>
      <c r="AC234" s="48"/>
      <c r="AD234" s="48"/>
      <c r="AE234" s="48"/>
      <c r="AF234" s="48"/>
      <c r="AG234" s="48"/>
      <c r="AH234" s="48"/>
      <c r="AI234" s="48"/>
      <c r="AJ234" s="44"/>
      <c r="AK234" s="44"/>
      <c r="AL234" s="44"/>
    </row>
    <row r="235" spans="1:38" ht="27.6" x14ac:dyDescent="0.25">
      <c r="A235" s="94"/>
      <c r="B235" s="265" t="s">
        <v>1217</v>
      </c>
      <c r="C235" s="266" t="s">
        <v>628</v>
      </c>
      <c r="D235" s="265" t="s">
        <v>40</v>
      </c>
      <c r="E235" s="265" t="s">
        <v>629</v>
      </c>
      <c r="F235" s="267" t="s">
        <v>44</v>
      </c>
      <c r="G235" s="277">
        <v>1</v>
      </c>
      <c r="H235" s="268">
        <f t="shared" si="86"/>
        <v>11.53</v>
      </c>
      <c r="I235" s="287">
        <v>3.35</v>
      </c>
      <c r="J235" s="268">
        <f t="shared" si="78"/>
        <v>4.25</v>
      </c>
      <c r="K235" s="292">
        <v>8.18</v>
      </c>
      <c r="L235" s="268">
        <f t="shared" si="79"/>
        <v>10.38</v>
      </c>
      <c r="M235" s="268">
        <f t="shared" si="80"/>
        <v>14.63</v>
      </c>
      <c r="N235" s="268">
        <f t="shared" si="81"/>
        <v>4.25</v>
      </c>
      <c r="O235" s="268">
        <f t="shared" si="82"/>
        <v>10.38</v>
      </c>
      <c r="P235" s="268">
        <f t="shared" si="83"/>
        <v>14.63</v>
      </c>
      <c r="Q235" s="269">
        <f t="shared" si="84"/>
        <v>0</v>
      </c>
      <c r="R235" s="44"/>
      <c r="S235" s="49">
        <f t="shared" si="77"/>
        <v>11.53</v>
      </c>
      <c r="T235" s="126"/>
      <c r="U235" s="48"/>
      <c r="V235" s="48"/>
      <c r="W235" s="48"/>
      <c r="X235" s="48"/>
      <c r="Y235" s="48"/>
      <c r="Z235" s="48"/>
      <c r="AA235" s="48"/>
      <c r="AB235" s="48"/>
      <c r="AC235" s="48"/>
      <c r="AD235" s="48"/>
      <c r="AE235" s="48"/>
      <c r="AF235" s="48"/>
      <c r="AG235" s="48"/>
      <c r="AH235" s="48"/>
      <c r="AI235" s="48"/>
      <c r="AJ235" s="44"/>
      <c r="AK235" s="44"/>
      <c r="AL235" s="44"/>
    </row>
    <row r="236" spans="1:38" ht="27.6" x14ac:dyDescent="0.25">
      <c r="A236" s="94"/>
      <c r="B236" s="265" t="s">
        <v>1218</v>
      </c>
      <c r="C236" s="266" t="s">
        <v>630</v>
      </c>
      <c r="D236" s="265" t="s">
        <v>40</v>
      </c>
      <c r="E236" s="265" t="s">
        <v>631</v>
      </c>
      <c r="F236" s="267" t="s">
        <v>44</v>
      </c>
      <c r="G236" s="277">
        <v>29</v>
      </c>
      <c r="H236" s="268">
        <f t="shared" si="86"/>
        <v>14.55</v>
      </c>
      <c r="I236" s="287">
        <v>1.54</v>
      </c>
      <c r="J236" s="268">
        <f t="shared" si="78"/>
        <v>1.95</v>
      </c>
      <c r="K236" s="292">
        <v>13.01</v>
      </c>
      <c r="L236" s="268">
        <f t="shared" si="79"/>
        <v>16.510000000000002</v>
      </c>
      <c r="M236" s="268">
        <f t="shared" si="80"/>
        <v>18.46</v>
      </c>
      <c r="N236" s="268">
        <f t="shared" si="81"/>
        <v>56.55</v>
      </c>
      <c r="O236" s="268">
        <f t="shared" si="82"/>
        <v>478.79</v>
      </c>
      <c r="P236" s="268">
        <f t="shared" si="83"/>
        <v>535.34</v>
      </c>
      <c r="Q236" s="269">
        <f t="shared" si="84"/>
        <v>2.0000000000000001E-4</v>
      </c>
      <c r="R236" s="44"/>
      <c r="S236" s="49">
        <f t="shared" si="77"/>
        <v>421.95</v>
      </c>
      <c r="T236" s="126"/>
      <c r="U236" s="48"/>
      <c r="V236" s="48"/>
      <c r="W236" s="48"/>
      <c r="X236" s="48"/>
      <c r="Y236" s="48"/>
      <c r="Z236" s="48"/>
      <c r="AA236" s="48"/>
      <c r="AB236" s="48"/>
      <c r="AC236" s="48"/>
      <c r="AD236" s="48"/>
      <c r="AE236" s="48"/>
      <c r="AF236" s="48"/>
      <c r="AG236" s="48"/>
      <c r="AH236" s="48"/>
      <c r="AI236" s="48"/>
      <c r="AJ236" s="44"/>
      <c r="AK236" s="44"/>
      <c r="AL236" s="44"/>
    </row>
    <row r="237" spans="1:38" ht="27.6" x14ac:dyDescent="0.25">
      <c r="A237" s="94"/>
      <c r="B237" s="265" t="s">
        <v>1219</v>
      </c>
      <c r="C237" s="266" t="s">
        <v>632</v>
      </c>
      <c r="D237" s="265" t="s">
        <v>40</v>
      </c>
      <c r="E237" s="265" t="s">
        <v>633</v>
      </c>
      <c r="F237" s="267" t="s">
        <v>44</v>
      </c>
      <c r="G237" s="277">
        <v>1</v>
      </c>
      <c r="H237" s="268">
        <f t="shared" si="86"/>
        <v>32.909999999999997</v>
      </c>
      <c r="I237" s="287">
        <v>2.8</v>
      </c>
      <c r="J237" s="268">
        <f t="shared" si="78"/>
        <v>3.55</v>
      </c>
      <c r="K237" s="292">
        <v>30.11</v>
      </c>
      <c r="L237" s="268">
        <f t="shared" si="79"/>
        <v>38.200000000000003</v>
      </c>
      <c r="M237" s="268">
        <f t="shared" si="80"/>
        <v>41.75</v>
      </c>
      <c r="N237" s="268">
        <f t="shared" si="81"/>
        <v>3.55</v>
      </c>
      <c r="O237" s="268">
        <f t="shared" si="82"/>
        <v>38.200000000000003</v>
      </c>
      <c r="P237" s="268">
        <f t="shared" si="83"/>
        <v>41.75</v>
      </c>
      <c r="Q237" s="269">
        <f t="shared" si="84"/>
        <v>0</v>
      </c>
      <c r="R237" s="44"/>
      <c r="S237" s="49">
        <f t="shared" si="77"/>
        <v>32.909999999999997</v>
      </c>
      <c r="T237" s="126"/>
      <c r="U237" s="48"/>
      <c r="V237" s="48"/>
      <c r="W237" s="48"/>
      <c r="X237" s="48"/>
      <c r="Y237" s="48"/>
      <c r="Z237" s="48"/>
      <c r="AA237" s="48"/>
      <c r="AB237" s="48"/>
      <c r="AC237" s="48"/>
      <c r="AD237" s="48"/>
      <c r="AE237" s="48"/>
      <c r="AF237" s="48"/>
      <c r="AG237" s="48"/>
      <c r="AH237" s="48"/>
      <c r="AI237" s="48"/>
      <c r="AJ237" s="44"/>
      <c r="AK237" s="44"/>
      <c r="AL237" s="44"/>
    </row>
    <row r="238" spans="1:38" ht="27.6" x14ac:dyDescent="0.25">
      <c r="A238" s="94"/>
      <c r="B238" s="265" t="s">
        <v>1220</v>
      </c>
      <c r="C238" s="266" t="s">
        <v>397</v>
      </c>
      <c r="D238" s="265" t="s">
        <v>40</v>
      </c>
      <c r="E238" s="265" t="s">
        <v>398</v>
      </c>
      <c r="F238" s="267" t="s">
        <v>55</v>
      </c>
      <c r="G238" s="277">
        <v>299.39999999999998</v>
      </c>
      <c r="H238" s="268">
        <f t="shared" si="86"/>
        <v>20.190000000000001</v>
      </c>
      <c r="I238" s="287">
        <v>7.54</v>
      </c>
      <c r="J238" s="268">
        <f t="shared" si="78"/>
        <v>9.57</v>
      </c>
      <c r="K238" s="292">
        <v>12.65</v>
      </c>
      <c r="L238" s="268">
        <f t="shared" si="79"/>
        <v>16.05</v>
      </c>
      <c r="M238" s="268">
        <f t="shared" si="80"/>
        <v>25.62</v>
      </c>
      <c r="N238" s="268">
        <f t="shared" si="81"/>
        <v>2865.26</v>
      </c>
      <c r="O238" s="268">
        <f t="shared" si="82"/>
        <v>4805.37</v>
      </c>
      <c r="P238" s="268">
        <f t="shared" si="83"/>
        <v>7670.63</v>
      </c>
      <c r="Q238" s="269">
        <f t="shared" si="84"/>
        <v>3.0000000000000001E-3</v>
      </c>
      <c r="R238" s="44"/>
      <c r="S238" s="49">
        <f t="shared" si="77"/>
        <v>6044.89</v>
      </c>
      <c r="T238" s="126"/>
      <c r="U238" s="48"/>
      <c r="V238" s="48"/>
      <c r="W238" s="48"/>
      <c r="X238" s="48"/>
      <c r="Y238" s="48"/>
      <c r="Z238" s="48"/>
      <c r="AA238" s="48"/>
      <c r="AB238" s="48"/>
      <c r="AC238" s="48"/>
      <c r="AD238" s="48"/>
      <c r="AE238" s="48"/>
      <c r="AF238" s="48"/>
      <c r="AG238" s="48"/>
      <c r="AH238" s="48"/>
      <c r="AI238" s="48"/>
      <c r="AJ238" s="44"/>
      <c r="AK238" s="44"/>
      <c r="AL238" s="44"/>
    </row>
    <row r="239" spans="1:38" ht="27.6" x14ac:dyDescent="0.25">
      <c r="A239" s="94"/>
      <c r="B239" s="265" t="s">
        <v>1221</v>
      </c>
      <c r="C239" s="266" t="s">
        <v>196</v>
      </c>
      <c r="D239" s="265" t="s">
        <v>40</v>
      </c>
      <c r="E239" s="265" t="s">
        <v>197</v>
      </c>
      <c r="F239" s="267" t="s">
        <v>44</v>
      </c>
      <c r="G239" s="277">
        <v>39</v>
      </c>
      <c r="H239" s="268">
        <f t="shared" si="86"/>
        <v>8.69</v>
      </c>
      <c r="I239" s="287">
        <v>4.91</v>
      </c>
      <c r="J239" s="268">
        <f t="shared" si="78"/>
        <v>6.23</v>
      </c>
      <c r="K239" s="292">
        <v>3.78</v>
      </c>
      <c r="L239" s="268">
        <f t="shared" si="79"/>
        <v>4.8</v>
      </c>
      <c r="M239" s="268">
        <f t="shared" si="80"/>
        <v>11.03</v>
      </c>
      <c r="N239" s="268">
        <f t="shared" si="81"/>
        <v>242.97</v>
      </c>
      <c r="O239" s="268">
        <f t="shared" si="82"/>
        <v>187.2</v>
      </c>
      <c r="P239" s="268">
        <f t="shared" si="83"/>
        <v>430.17</v>
      </c>
      <c r="Q239" s="269">
        <f t="shared" si="84"/>
        <v>2.0000000000000001E-4</v>
      </c>
      <c r="R239" s="44"/>
      <c r="S239" s="49">
        <f t="shared" si="77"/>
        <v>338.91</v>
      </c>
      <c r="T239" s="126"/>
      <c r="U239" s="48"/>
      <c r="V239" s="48"/>
      <c r="W239" s="48"/>
      <c r="X239" s="48"/>
      <c r="Y239" s="48"/>
      <c r="Z239" s="48"/>
      <c r="AA239" s="48"/>
      <c r="AB239" s="48"/>
      <c r="AC239" s="48"/>
      <c r="AD239" s="48"/>
      <c r="AE239" s="48"/>
      <c r="AF239" s="48"/>
      <c r="AG239" s="48"/>
      <c r="AH239" s="48"/>
      <c r="AI239" s="48"/>
      <c r="AJ239" s="44"/>
      <c r="AK239" s="44"/>
      <c r="AL239" s="44"/>
    </row>
    <row r="240" spans="1:38" ht="27.6" x14ac:dyDescent="0.25">
      <c r="A240" s="94"/>
      <c r="B240" s="265" t="s">
        <v>1222</v>
      </c>
      <c r="C240" s="266" t="s">
        <v>166</v>
      </c>
      <c r="D240" s="265" t="s">
        <v>40</v>
      </c>
      <c r="E240" s="265" t="s">
        <v>167</v>
      </c>
      <c r="F240" s="267" t="s">
        <v>44</v>
      </c>
      <c r="G240" s="277">
        <v>20</v>
      </c>
      <c r="H240" s="268">
        <f t="shared" si="86"/>
        <v>17.64</v>
      </c>
      <c r="I240" s="287">
        <v>4.3600000000000003</v>
      </c>
      <c r="J240" s="268">
        <f t="shared" si="78"/>
        <v>5.53</v>
      </c>
      <c r="K240" s="292">
        <v>13.28</v>
      </c>
      <c r="L240" s="268">
        <f t="shared" si="79"/>
        <v>16.850000000000001</v>
      </c>
      <c r="M240" s="268">
        <f t="shared" si="80"/>
        <v>22.38</v>
      </c>
      <c r="N240" s="268">
        <f t="shared" si="81"/>
        <v>110.6</v>
      </c>
      <c r="O240" s="268">
        <f t="shared" si="82"/>
        <v>337</v>
      </c>
      <c r="P240" s="268">
        <f t="shared" si="83"/>
        <v>447.6</v>
      </c>
      <c r="Q240" s="269">
        <f t="shared" si="84"/>
        <v>2.0000000000000001E-4</v>
      </c>
      <c r="R240" s="44"/>
      <c r="S240" s="49">
        <f t="shared" si="77"/>
        <v>352.8</v>
      </c>
      <c r="T240" s="126"/>
      <c r="U240" s="48"/>
      <c r="V240" s="48"/>
      <c r="W240" s="48"/>
      <c r="X240" s="48"/>
      <c r="Y240" s="48"/>
      <c r="Z240" s="48"/>
      <c r="AA240" s="48"/>
      <c r="AB240" s="48"/>
      <c r="AC240" s="48"/>
      <c r="AD240" s="48"/>
      <c r="AE240" s="48"/>
      <c r="AF240" s="48"/>
      <c r="AG240" s="48"/>
      <c r="AH240" s="48"/>
      <c r="AI240" s="48"/>
      <c r="AJ240" s="44"/>
      <c r="AK240" s="44"/>
      <c r="AL240" s="44"/>
    </row>
    <row r="241" spans="1:38" ht="27.6" x14ac:dyDescent="0.25">
      <c r="A241" s="94"/>
      <c r="B241" s="265" t="s">
        <v>1223</v>
      </c>
      <c r="C241" s="266" t="s">
        <v>164</v>
      </c>
      <c r="D241" s="265" t="s">
        <v>40</v>
      </c>
      <c r="E241" s="265" t="s">
        <v>165</v>
      </c>
      <c r="F241" s="267" t="s">
        <v>44</v>
      </c>
      <c r="G241" s="277">
        <v>10</v>
      </c>
      <c r="H241" s="268">
        <f t="shared" si="86"/>
        <v>14.39</v>
      </c>
      <c r="I241" s="287">
        <v>4.7</v>
      </c>
      <c r="J241" s="268">
        <f t="shared" si="78"/>
        <v>5.96</v>
      </c>
      <c r="K241" s="292">
        <v>9.69</v>
      </c>
      <c r="L241" s="268">
        <f t="shared" si="79"/>
        <v>12.29</v>
      </c>
      <c r="M241" s="268">
        <f t="shared" si="80"/>
        <v>18.25</v>
      </c>
      <c r="N241" s="268">
        <f t="shared" si="81"/>
        <v>59.6</v>
      </c>
      <c r="O241" s="268">
        <f t="shared" si="82"/>
        <v>122.9</v>
      </c>
      <c r="P241" s="268">
        <f t="shared" si="83"/>
        <v>182.5</v>
      </c>
      <c r="Q241" s="269">
        <f t="shared" si="84"/>
        <v>1E-4</v>
      </c>
      <c r="R241" s="44"/>
      <c r="S241" s="49">
        <f t="shared" si="77"/>
        <v>143.9</v>
      </c>
      <c r="T241" s="126"/>
      <c r="U241" s="48"/>
      <c r="V241" s="48"/>
      <c r="W241" s="48"/>
      <c r="X241" s="48"/>
      <c r="Y241" s="48"/>
      <c r="Z241" s="48"/>
      <c r="AA241" s="48"/>
      <c r="AB241" s="48"/>
      <c r="AC241" s="48"/>
      <c r="AD241" s="48"/>
      <c r="AE241" s="48"/>
      <c r="AF241" s="48"/>
      <c r="AG241" s="48"/>
      <c r="AH241" s="48"/>
      <c r="AI241" s="48"/>
      <c r="AJ241" s="44"/>
      <c r="AK241" s="44"/>
      <c r="AL241" s="44"/>
    </row>
    <row r="242" spans="1:38" ht="27.6" x14ac:dyDescent="0.25">
      <c r="A242" s="94"/>
      <c r="B242" s="265" t="s">
        <v>1224</v>
      </c>
      <c r="C242" s="266" t="s">
        <v>159</v>
      </c>
      <c r="D242" s="265" t="s">
        <v>40</v>
      </c>
      <c r="E242" s="265" t="s">
        <v>160</v>
      </c>
      <c r="F242" s="267" t="s">
        <v>44</v>
      </c>
      <c r="G242" s="277">
        <v>55</v>
      </c>
      <c r="H242" s="268">
        <f t="shared" si="86"/>
        <v>11.38</v>
      </c>
      <c r="I242" s="287">
        <v>4.3499999999999996</v>
      </c>
      <c r="J242" s="268">
        <f t="shared" si="78"/>
        <v>5.52</v>
      </c>
      <c r="K242" s="292">
        <v>7.03</v>
      </c>
      <c r="L242" s="268">
        <f t="shared" si="79"/>
        <v>8.92</v>
      </c>
      <c r="M242" s="268">
        <f t="shared" si="80"/>
        <v>14.44</v>
      </c>
      <c r="N242" s="268">
        <f t="shared" si="81"/>
        <v>303.60000000000002</v>
      </c>
      <c r="O242" s="268">
        <f t="shared" si="82"/>
        <v>490.6</v>
      </c>
      <c r="P242" s="268">
        <f t="shared" si="83"/>
        <v>794.2</v>
      </c>
      <c r="Q242" s="269">
        <f t="shared" si="84"/>
        <v>2.9999999999999997E-4</v>
      </c>
      <c r="R242" s="44"/>
      <c r="S242" s="49">
        <f t="shared" si="77"/>
        <v>625.9</v>
      </c>
      <c r="T242" s="126"/>
      <c r="U242" s="48"/>
      <c r="V242" s="48"/>
      <c r="W242" s="48"/>
      <c r="X242" s="48"/>
      <c r="Y242" s="48"/>
      <c r="Z242" s="48"/>
      <c r="AA242" s="48"/>
      <c r="AB242" s="48"/>
      <c r="AC242" s="48"/>
      <c r="AD242" s="48"/>
      <c r="AE242" s="48"/>
      <c r="AF242" s="48"/>
      <c r="AG242" s="48"/>
      <c r="AH242" s="48"/>
      <c r="AI242" s="48"/>
      <c r="AJ242" s="44"/>
      <c r="AK242" s="44"/>
      <c r="AL242" s="44"/>
    </row>
    <row r="243" spans="1:38" ht="27.6" x14ac:dyDescent="0.25">
      <c r="A243" s="94"/>
      <c r="B243" s="265" t="s">
        <v>1225</v>
      </c>
      <c r="C243" s="266" t="s">
        <v>162</v>
      </c>
      <c r="D243" s="265" t="s">
        <v>40</v>
      </c>
      <c r="E243" s="265" t="s">
        <v>163</v>
      </c>
      <c r="F243" s="267" t="s">
        <v>44</v>
      </c>
      <c r="G243" s="277">
        <v>1</v>
      </c>
      <c r="H243" s="268">
        <f t="shared" si="86"/>
        <v>18.02</v>
      </c>
      <c r="I243" s="287">
        <v>5.8</v>
      </c>
      <c r="J243" s="268">
        <f t="shared" si="78"/>
        <v>7.36</v>
      </c>
      <c r="K243" s="292">
        <v>12.22</v>
      </c>
      <c r="L243" s="268">
        <f t="shared" si="79"/>
        <v>15.5</v>
      </c>
      <c r="M243" s="268">
        <f t="shared" si="80"/>
        <v>22.86</v>
      </c>
      <c r="N243" s="268">
        <f t="shared" si="81"/>
        <v>7.36</v>
      </c>
      <c r="O243" s="268">
        <f t="shared" si="82"/>
        <v>15.5</v>
      </c>
      <c r="P243" s="268">
        <f t="shared" si="83"/>
        <v>22.86</v>
      </c>
      <c r="Q243" s="269">
        <f t="shared" si="84"/>
        <v>0</v>
      </c>
      <c r="R243" s="44"/>
      <c r="S243" s="49">
        <f t="shared" si="77"/>
        <v>18.02</v>
      </c>
      <c r="T243" s="126"/>
      <c r="U243" s="48"/>
      <c r="V243" s="48"/>
      <c r="W243" s="48"/>
      <c r="X243" s="48"/>
      <c r="Y243" s="48"/>
      <c r="Z243" s="48"/>
      <c r="AA243" s="48"/>
      <c r="AB243" s="48"/>
      <c r="AC243" s="48"/>
      <c r="AD243" s="48"/>
      <c r="AE243" s="48"/>
      <c r="AF243" s="48"/>
      <c r="AG243" s="48"/>
      <c r="AH243" s="48"/>
      <c r="AI243" s="48"/>
      <c r="AJ243" s="44"/>
      <c r="AK243" s="44"/>
      <c r="AL243" s="44"/>
    </row>
    <row r="244" spans="1:38" ht="41.4" x14ac:dyDescent="0.25">
      <c r="A244" s="94"/>
      <c r="B244" s="265" t="s">
        <v>1226</v>
      </c>
      <c r="C244" s="266" t="s">
        <v>1474</v>
      </c>
      <c r="D244" s="265" t="s">
        <v>40</v>
      </c>
      <c r="E244" s="265" t="s">
        <v>1475</v>
      </c>
      <c r="F244" s="267" t="s">
        <v>44</v>
      </c>
      <c r="G244" s="277">
        <v>1</v>
      </c>
      <c r="H244" s="268">
        <f t="shared" si="86"/>
        <v>8.17</v>
      </c>
      <c r="I244" s="287">
        <v>2.5299999999999998</v>
      </c>
      <c r="J244" s="268">
        <f t="shared" si="78"/>
        <v>3.21</v>
      </c>
      <c r="K244" s="292">
        <v>5.64</v>
      </c>
      <c r="L244" s="268">
        <f t="shared" si="79"/>
        <v>7.16</v>
      </c>
      <c r="M244" s="268">
        <f t="shared" si="80"/>
        <v>10.37</v>
      </c>
      <c r="N244" s="268">
        <f t="shared" si="81"/>
        <v>3.21</v>
      </c>
      <c r="O244" s="268">
        <f t="shared" si="82"/>
        <v>7.16</v>
      </c>
      <c r="P244" s="268">
        <f t="shared" si="83"/>
        <v>10.37</v>
      </c>
      <c r="Q244" s="269">
        <f t="shared" si="84"/>
        <v>0</v>
      </c>
      <c r="R244" s="44"/>
      <c r="S244" s="49">
        <f t="shared" si="77"/>
        <v>8.17</v>
      </c>
      <c r="T244" s="126"/>
      <c r="U244" s="48"/>
      <c r="V244" s="48"/>
      <c r="W244" s="48"/>
      <c r="X244" s="48"/>
      <c r="Y244" s="48"/>
      <c r="Z244" s="48"/>
      <c r="AA244" s="48"/>
      <c r="AB244" s="48"/>
      <c r="AC244" s="48"/>
      <c r="AD244" s="48"/>
      <c r="AE244" s="48"/>
      <c r="AF244" s="48"/>
      <c r="AG244" s="48"/>
      <c r="AH244" s="48"/>
      <c r="AI244" s="48"/>
      <c r="AJ244" s="44"/>
      <c r="AK244" s="44"/>
      <c r="AL244" s="44"/>
    </row>
    <row r="245" spans="1:38" x14ac:dyDescent="0.25">
      <c r="A245" s="94"/>
      <c r="B245" s="265" t="s">
        <v>1227</v>
      </c>
      <c r="C245" s="266" t="s">
        <v>852</v>
      </c>
      <c r="D245" s="265" t="s">
        <v>100</v>
      </c>
      <c r="E245" s="265" t="s">
        <v>853</v>
      </c>
      <c r="F245" s="267" t="s">
        <v>44</v>
      </c>
      <c r="G245" s="277">
        <v>1</v>
      </c>
      <c r="H245" s="268">
        <f>CPUS!L117</f>
        <v>12794.9</v>
      </c>
      <c r="I245" s="287">
        <f>CPUS!H121</f>
        <v>179.9</v>
      </c>
      <c r="J245" s="268">
        <f>I245*(1+$M$12)</f>
        <v>214.21</v>
      </c>
      <c r="K245" s="292">
        <f>H245-I245</f>
        <v>12615</v>
      </c>
      <c r="L245" s="268">
        <f>K245*(1+$M$12)</f>
        <v>15020.68</v>
      </c>
      <c r="M245" s="268">
        <f t="shared" si="80"/>
        <v>15234.89</v>
      </c>
      <c r="N245" s="268">
        <f t="shared" si="81"/>
        <v>214.21</v>
      </c>
      <c r="O245" s="268">
        <f t="shared" si="82"/>
        <v>15020.68</v>
      </c>
      <c r="P245" s="268">
        <f t="shared" si="83"/>
        <v>15234.89</v>
      </c>
      <c r="Q245" s="269">
        <f t="shared" si="84"/>
        <v>6.0000000000000001E-3</v>
      </c>
      <c r="R245" s="44"/>
      <c r="S245" s="49">
        <f t="shared" si="77"/>
        <v>12794.9</v>
      </c>
      <c r="T245" s="126"/>
      <c r="U245" s="48"/>
      <c r="V245" s="48"/>
      <c r="W245" s="48"/>
      <c r="X245" s="48"/>
      <c r="Y245" s="48"/>
      <c r="Z245" s="48"/>
      <c r="AA245" s="48"/>
      <c r="AB245" s="48"/>
      <c r="AC245" s="48"/>
      <c r="AD245" s="48"/>
      <c r="AE245" s="48"/>
      <c r="AF245" s="48"/>
      <c r="AG245" s="48"/>
      <c r="AH245" s="48"/>
      <c r="AI245" s="48"/>
      <c r="AJ245" s="44"/>
      <c r="AK245" s="44"/>
      <c r="AL245" s="44"/>
    </row>
    <row r="246" spans="1:38" x14ac:dyDescent="0.25">
      <c r="A246" s="94"/>
      <c r="B246" s="265" t="s">
        <v>1228</v>
      </c>
      <c r="C246" s="266" t="s">
        <v>1097</v>
      </c>
      <c r="D246" s="265" t="s">
        <v>199</v>
      </c>
      <c r="E246" s="265" t="s">
        <v>1098</v>
      </c>
      <c r="F246" s="267" t="s">
        <v>168</v>
      </c>
      <c r="G246" s="277">
        <v>1</v>
      </c>
      <c r="H246" s="268">
        <v>10418.33</v>
      </c>
      <c r="I246" s="287">
        <f>74.28+27.08</f>
        <v>101.36</v>
      </c>
      <c r="J246" s="268">
        <f>I246*(1+$M$12)</f>
        <v>120.69</v>
      </c>
      <c r="K246" s="292">
        <f>H246-I246</f>
        <v>10316.969999999999</v>
      </c>
      <c r="L246" s="268">
        <f>K246*(1+$M$12)</f>
        <v>12284.42</v>
      </c>
      <c r="M246" s="268">
        <f t="shared" si="80"/>
        <v>12405.11</v>
      </c>
      <c r="N246" s="268">
        <f t="shared" si="81"/>
        <v>120.69</v>
      </c>
      <c r="O246" s="268">
        <f t="shared" si="82"/>
        <v>12284.42</v>
      </c>
      <c r="P246" s="268">
        <f t="shared" si="83"/>
        <v>12405.11</v>
      </c>
      <c r="Q246" s="269">
        <f t="shared" si="84"/>
        <v>4.8999999999999998E-3</v>
      </c>
      <c r="R246" s="44"/>
      <c r="S246" s="49">
        <f t="shared" si="77"/>
        <v>10418.33</v>
      </c>
      <c r="T246" s="126"/>
      <c r="U246" s="48"/>
      <c r="V246" s="48"/>
      <c r="W246" s="48"/>
      <c r="X246" s="48"/>
      <c r="Y246" s="48"/>
      <c r="Z246" s="48"/>
      <c r="AA246" s="48"/>
      <c r="AB246" s="48"/>
      <c r="AC246" s="48"/>
      <c r="AD246" s="48"/>
      <c r="AE246" s="48"/>
      <c r="AF246" s="48"/>
      <c r="AG246" s="48"/>
      <c r="AH246" s="48"/>
      <c r="AI246" s="48"/>
      <c r="AJ246" s="44"/>
      <c r="AK246" s="44"/>
      <c r="AL246" s="44"/>
    </row>
    <row r="247" spans="1:38" ht="27.6" x14ac:dyDescent="0.25">
      <c r="A247" s="94"/>
      <c r="B247" s="265" t="s">
        <v>1229</v>
      </c>
      <c r="C247" s="266" t="s">
        <v>1476</v>
      </c>
      <c r="D247" s="265" t="s">
        <v>40</v>
      </c>
      <c r="E247" s="265" t="s">
        <v>1477</v>
      </c>
      <c r="F247" s="267" t="s">
        <v>44</v>
      </c>
      <c r="G247" s="277">
        <v>2</v>
      </c>
      <c r="H247" s="268">
        <f>I247+K247</f>
        <v>45.74</v>
      </c>
      <c r="I247" s="287">
        <v>2.61</v>
      </c>
      <c r="J247" s="268">
        <f t="shared" ref="J247:J254" si="87">I247*(1+$M$9)</f>
        <v>3.31</v>
      </c>
      <c r="K247" s="292">
        <v>43.13</v>
      </c>
      <c r="L247" s="268">
        <f t="shared" ref="L247:L254" si="88">K247*(1+$M$9)</f>
        <v>54.72</v>
      </c>
      <c r="M247" s="268">
        <f t="shared" si="80"/>
        <v>58.03</v>
      </c>
      <c r="N247" s="268">
        <f t="shared" si="81"/>
        <v>6.62</v>
      </c>
      <c r="O247" s="268">
        <f t="shared" si="82"/>
        <v>109.44</v>
      </c>
      <c r="P247" s="268">
        <f t="shared" si="83"/>
        <v>116.06</v>
      </c>
      <c r="Q247" s="269">
        <f t="shared" si="84"/>
        <v>0</v>
      </c>
      <c r="R247" s="44"/>
      <c r="S247" s="49">
        <f t="shared" si="77"/>
        <v>91.48</v>
      </c>
      <c r="T247" s="126"/>
      <c r="U247" s="48"/>
      <c r="V247" s="48"/>
      <c r="W247" s="48"/>
      <c r="X247" s="48"/>
      <c r="Y247" s="48"/>
      <c r="Z247" s="48"/>
      <c r="AA247" s="48"/>
      <c r="AB247" s="48"/>
      <c r="AC247" s="48"/>
      <c r="AD247" s="48"/>
      <c r="AE247" s="48"/>
      <c r="AF247" s="48"/>
      <c r="AG247" s="48"/>
      <c r="AH247" s="48"/>
      <c r="AI247" s="48"/>
      <c r="AJ247" s="44"/>
      <c r="AK247" s="44"/>
      <c r="AL247" s="44"/>
    </row>
    <row r="248" spans="1:38" x14ac:dyDescent="0.25">
      <c r="A248" s="94"/>
      <c r="B248" s="265" t="s">
        <v>1230</v>
      </c>
      <c r="C248" s="266" t="s">
        <v>1478</v>
      </c>
      <c r="D248" s="265" t="s">
        <v>199</v>
      </c>
      <c r="E248" s="265" t="s">
        <v>1479</v>
      </c>
      <c r="F248" s="267" t="s">
        <v>168</v>
      </c>
      <c r="G248" s="277">
        <v>1</v>
      </c>
      <c r="H248" s="268">
        <v>156.35</v>
      </c>
      <c r="I248" s="287">
        <f>8.36+12.19</f>
        <v>20.55</v>
      </c>
      <c r="J248" s="268">
        <f t="shared" si="87"/>
        <v>26.07</v>
      </c>
      <c r="K248" s="292">
        <f>H248-I248</f>
        <v>135.80000000000001</v>
      </c>
      <c r="L248" s="268">
        <f t="shared" si="88"/>
        <v>172.29</v>
      </c>
      <c r="M248" s="268">
        <f t="shared" si="80"/>
        <v>198.36</v>
      </c>
      <c r="N248" s="268">
        <f t="shared" si="81"/>
        <v>26.07</v>
      </c>
      <c r="O248" s="268">
        <f t="shared" si="82"/>
        <v>172.29</v>
      </c>
      <c r="P248" s="268">
        <f t="shared" si="83"/>
        <v>198.36</v>
      </c>
      <c r="Q248" s="269">
        <f t="shared" si="84"/>
        <v>1E-4</v>
      </c>
      <c r="R248" s="44"/>
      <c r="S248" s="49">
        <f t="shared" si="77"/>
        <v>156.35</v>
      </c>
      <c r="T248" s="126"/>
      <c r="U248" s="48"/>
      <c r="V248" s="48"/>
      <c r="W248" s="48"/>
      <c r="X248" s="48"/>
      <c r="Y248" s="48"/>
      <c r="Z248" s="48"/>
      <c r="AA248" s="48"/>
      <c r="AB248" s="48"/>
      <c r="AC248" s="48"/>
      <c r="AD248" s="48"/>
      <c r="AE248" s="48"/>
      <c r="AF248" s="48"/>
      <c r="AG248" s="48"/>
      <c r="AH248" s="48"/>
      <c r="AI248" s="48"/>
      <c r="AJ248" s="44"/>
      <c r="AK248" s="44"/>
      <c r="AL248" s="44"/>
    </row>
    <row r="249" spans="1:38" ht="27.6" x14ac:dyDescent="0.25">
      <c r="A249" s="94"/>
      <c r="B249" s="265" t="s">
        <v>1231</v>
      </c>
      <c r="C249" s="266" t="s">
        <v>1480</v>
      </c>
      <c r="D249" s="265" t="s">
        <v>40</v>
      </c>
      <c r="E249" s="265" t="s">
        <v>1481</v>
      </c>
      <c r="F249" s="267" t="s">
        <v>44</v>
      </c>
      <c r="G249" s="277">
        <v>4</v>
      </c>
      <c r="H249" s="268">
        <f>I249+K249</f>
        <v>7.01</v>
      </c>
      <c r="I249" s="287">
        <v>3.29</v>
      </c>
      <c r="J249" s="268">
        <f t="shared" si="87"/>
        <v>4.17</v>
      </c>
      <c r="K249" s="292">
        <v>3.72</v>
      </c>
      <c r="L249" s="268">
        <f t="shared" si="88"/>
        <v>4.72</v>
      </c>
      <c r="M249" s="268">
        <f t="shared" si="80"/>
        <v>8.89</v>
      </c>
      <c r="N249" s="268">
        <f t="shared" si="81"/>
        <v>16.68</v>
      </c>
      <c r="O249" s="268">
        <f t="shared" si="82"/>
        <v>18.88</v>
      </c>
      <c r="P249" s="268">
        <f t="shared" si="83"/>
        <v>35.56</v>
      </c>
      <c r="Q249" s="269">
        <f t="shared" si="84"/>
        <v>0</v>
      </c>
      <c r="R249" s="44"/>
      <c r="S249" s="49">
        <f t="shared" si="77"/>
        <v>28.04</v>
      </c>
      <c r="T249" s="126"/>
      <c r="U249" s="48"/>
      <c r="V249" s="48"/>
      <c r="W249" s="48"/>
      <c r="X249" s="48"/>
      <c r="Y249" s="48"/>
      <c r="Z249" s="48"/>
      <c r="AA249" s="48"/>
      <c r="AB249" s="48"/>
      <c r="AC249" s="48"/>
      <c r="AD249" s="48"/>
      <c r="AE249" s="48"/>
      <c r="AF249" s="48"/>
      <c r="AG249" s="48"/>
      <c r="AH249" s="48"/>
      <c r="AI249" s="48"/>
      <c r="AJ249" s="44"/>
      <c r="AK249" s="44"/>
      <c r="AL249" s="44"/>
    </row>
    <row r="250" spans="1:38" ht="27.6" x14ac:dyDescent="0.25">
      <c r="A250" s="94"/>
      <c r="B250" s="265" t="s">
        <v>1232</v>
      </c>
      <c r="C250" s="266">
        <v>103948</v>
      </c>
      <c r="D250" s="265" t="s">
        <v>40</v>
      </c>
      <c r="E250" s="265" t="s">
        <v>634</v>
      </c>
      <c r="F250" s="267" t="s">
        <v>44</v>
      </c>
      <c r="G250" s="277">
        <v>1</v>
      </c>
      <c r="H250" s="268">
        <f>I250+K250</f>
        <v>6.71</v>
      </c>
      <c r="I250" s="287">
        <v>3.71</v>
      </c>
      <c r="J250" s="268">
        <f t="shared" si="87"/>
        <v>4.71</v>
      </c>
      <c r="K250" s="292">
        <v>3</v>
      </c>
      <c r="L250" s="268">
        <f t="shared" si="88"/>
        <v>3.81</v>
      </c>
      <c r="M250" s="268">
        <f t="shared" si="80"/>
        <v>8.52</v>
      </c>
      <c r="N250" s="268">
        <f t="shared" si="81"/>
        <v>4.71</v>
      </c>
      <c r="O250" s="268">
        <f t="shared" si="82"/>
        <v>3.81</v>
      </c>
      <c r="P250" s="268">
        <f t="shared" si="83"/>
        <v>8.52</v>
      </c>
      <c r="Q250" s="269">
        <f t="shared" si="84"/>
        <v>0</v>
      </c>
      <c r="R250" s="44"/>
      <c r="S250" s="49">
        <f t="shared" si="77"/>
        <v>6.71</v>
      </c>
      <c r="T250" s="126"/>
      <c r="U250" s="48"/>
      <c r="V250" s="48"/>
      <c r="W250" s="48"/>
      <c r="X250" s="48"/>
      <c r="Y250" s="48"/>
      <c r="Z250" s="48"/>
      <c r="AA250" s="48"/>
      <c r="AB250" s="48"/>
      <c r="AC250" s="48"/>
      <c r="AD250" s="48"/>
      <c r="AE250" s="48"/>
      <c r="AF250" s="48"/>
      <c r="AG250" s="48"/>
      <c r="AH250" s="48"/>
      <c r="AI250" s="48"/>
      <c r="AJ250" s="44"/>
      <c r="AK250" s="44"/>
      <c r="AL250" s="44"/>
    </row>
    <row r="251" spans="1:38" ht="27.6" x14ac:dyDescent="0.25">
      <c r="A251" s="94"/>
      <c r="B251" s="265" t="s">
        <v>1233</v>
      </c>
      <c r="C251" s="266" t="s">
        <v>635</v>
      </c>
      <c r="D251" s="265" t="s">
        <v>40</v>
      </c>
      <c r="E251" s="265" t="s">
        <v>636</v>
      </c>
      <c r="F251" s="267" t="s">
        <v>44</v>
      </c>
      <c r="G251" s="277">
        <v>6</v>
      </c>
      <c r="H251" s="268">
        <f>I251+K251</f>
        <v>14.18</v>
      </c>
      <c r="I251" s="287">
        <v>5.36</v>
      </c>
      <c r="J251" s="268">
        <f t="shared" si="87"/>
        <v>6.8</v>
      </c>
      <c r="K251" s="292">
        <v>8.82</v>
      </c>
      <c r="L251" s="268">
        <f t="shared" si="88"/>
        <v>11.19</v>
      </c>
      <c r="M251" s="268">
        <f t="shared" si="80"/>
        <v>17.989999999999998</v>
      </c>
      <c r="N251" s="268">
        <f t="shared" si="81"/>
        <v>40.799999999999997</v>
      </c>
      <c r="O251" s="268">
        <f t="shared" si="82"/>
        <v>67.14</v>
      </c>
      <c r="P251" s="268">
        <f t="shared" si="83"/>
        <v>107.94</v>
      </c>
      <c r="Q251" s="269">
        <f t="shared" si="84"/>
        <v>0</v>
      </c>
      <c r="R251" s="44"/>
      <c r="S251" s="49">
        <f t="shared" si="77"/>
        <v>85.08</v>
      </c>
      <c r="T251" s="126"/>
      <c r="U251" s="48"/>
      <c r="V251" s="48"/>
      <c r="W251" s="48"/>
      <c r="X251" s="48"/>
      <c r="Y251" s="48"/>
      <c r="Z251" s="48"/>
      <c r="AA251" s="48"/>
      <c r="AB251" s="48"/>
      <c r="AC251" s="48"/>
      <c r="AD251" s="48"/>
      <c r="AE251" s="48"/>
      <c r="AF251" s="48"/>
      <c r="AG251" s="48"/>
      <c r="AH251" s="48"/>
      <c r="AI251" s="48"/>
      <c r="AJ251" s="44"/>
      <c r="AK251" s="44"/>
      <c r="AL251" s="44"/>
    </row>
    <row r="252" spans="1:38" x14ac:dyDescent="0.25">
      <c r="A252" s="94"/>
      <c r="B252" s="265" t="s">
        <v>1234</v>
      </c>
      <c r="C252" s="266" t="s">
        <v>1482</v>
      </c>
      <c r="D252" s="265" t="s">
        <v>199</v>
      </c>
      <c r="E252" s="265" t="s">
        <v>1483</v>
      </c>
      <c r="F252" s="267" t="s">
        <v>168</v>
      </c>
      <c r="G252" s="277">
        <v>1</v>
      </c>
      <c r="H252" s="268">
        <v>403.98</v>
      </c>
      <c r="I252" s="287">
        <f>23.21+33.85</f>
        <v>57.06</v>
      </c>
      <c r="J252" s="268">
        <f t="shared" si="87"/>
        <v>72.39</v>
      </c>
      <c r="K252" s="292">
        <f>H252-I252</f>
        <v>346.92</v>
      </c>
      <c r="L252" s="268">
        <f t="shared" si="88"/>
        <v>440.14</v>
      </c>
      <c r="M252" s="268">
        <f t="shared" si="80"/>
        <v>512.53</v>
      </c>
      <c r="N252" s="268">
        <f t="shared" si="81"/>
        <v>72.39</v>
      </c>
      <c r="O252" s="268">
        <f t="shared" si="82"/>
        <v>440.14</v>
      </c>
      <c r="P252" s="268">
        <f t="shared" si="83"/>
        <v>512.53</v>
      </c>
      <c r="Q252" s="269">
        <f t="shared" si="84"/>
        <v>2.0000000000000001E-4</v>
      </c>
      <c r="R252" s="44"/>
      <c r="S252" s="49">
        <f t="shared" si="77"/>
        <v>403.98</v>
      </c>
      <c r="T252" s="126"/>
      <c r="U252" s="48"/>
      <c r="V252" s="48"/>
      <c r="W252" s="48"/>
      <c r="X252" s="48"/>
      <c r="Y252" s="48"/>
      <c r="Z252" s="48"/>
      <c r="AA252" s="48"/>
      <c r="AB252" s="48"/>
      <c r="AC252" s="48"/>
      <c r="AD252" s="48"/>
      <c r="AE252" s="48"/>
      <c r="AF252" s="48"/>
      <c r="AG252" s="48"/>
      <c r="AH252" s="48"/>
      <c r="AI252" s="48"/>
      <c r="AJ252" s="44"/>
      <c r="AK252" s="44"/>
      <c r="AL252" s="44"/>
    </row>
    <row r="253" spans="1:38" ht="27.6" x14ac:dyDescent="0.25">
      <c r="A253" s="94"/>
      <c r="B253" s="265" t="s">
        <v>1235</v>
      </c>
      <c r="C253" s="266" t="s">
        <v>637</v>
      </c>
      <c r="D253" s="265" t="s">
        <v>40</v>
      </c>
      <c r="E253" s="265" t="s">
        <v>638</v>
      </c>
      <c r="F253" s="267" t="s">
        <v>55</v>
      </c>
      <c r="G253" s="277">
        <v>12.4</v>
      </c>
      <c r="H253" s="268">
        <f>I253+K253</f>
        <v>28.06</v>
      </c>
      <c r="I253" s="287">
        <v>15.05</v>
      </c>
      <c r="J253" s="268">
        <f t="shared" si="87"/>
        <v>19.09</v>
      </c>
      <c r="K253" s="292">
        <v>13.01</v>
      </c>
      <c r="L253" s="268">
        <f t="shared" si="88"/>
        <v>16.510000000000002</v>
      </c>
      <c r="M253" s="268">
        <f t="shared" si="80"/>
        <v>35.6</v>
      </c>
      <c r="N253" s="268">
        <f t="shared" si="81"/>
        <v>236.72</v>
      </c>
      <c r="O253" s="268">
        <f t="shared" si="82"/>
        <v>204.72</v>
      </c>
      <c r="P253" s="268">
        <f t="shared" si="83"/>
        <v>441.44</v>
      </c>
      <c r="Q253" s="269">
        <f t="shared" si="84"/>
        <v>2.0000000000000001E-4</v>
      </c>
      <c r="R253" s="44"/>
      <c r="S253" s="49">
        <f t="shared" si="77"/>
        <v>347.94</v>
      </c>
      <c r="T253" s="126"/>
      <c r="U253" s="48"/>
      <c r="V253" s="48"/>
      <c r="W253" s="48"/>
      <c r="X253" s="48"/>
      <c r="Y253" s="48"/>
      <c r="Z253" s="48"/>
      <c r="AA253" s="48"/>
      <c r="AB253" s="48"/>
      <c r="AC253" s="48"/>
      <c r="AD253" s="48"/>
      <c r="AE253" s="48"/>
      <c r="AF253" s="48"/>
      <c r="AG253" s="48"/>
      <c r="AH253" s="48"/>
      <c r="AI253" s="48"/>
      <c r="AJ253" s="44"/>
      <c r="AK253" s="44"/>
      <c r="AL253" s="44"/>
    </row>
    <row r="254" spans="1:38" ht="27.6" x14ac:dyDescent="0.25">
      <c r="A254" s="94"/>
      <c r="B254" s="265" t="s">
        <v>1236</v>
      </c>
      <c r="C254" s="266">
        <v>89400</v>
      </c>
      <c r="D254" s="265" t="s">
        <v>40</v>
      </c>
      <c r="E254" s="265" t="s">
        <v>639</v>
      </c>
      <c r="F254" s="267" t="s">
        <v>44</v>
      </c>
      <c r="G254" s="277">
        <v>1</v>
      </c>
      <c r="H254" s="268">
        <f>I254+K254</f>
        <v>17.36</v>
      </c>
      <c r="I254" s="287">
        <v>7.38</v>
      </c>
      <c r="J254" s="268">
        <f t="shared" si="87"/>
        <v>9.36</v>
      </c>
      <c r="K254" s="292">
        <v>9.98</v>
      </c>
      <c r="L254" s="268">
        <f t="shared" si="88"/>
        <v>12.66</v>
      </c>
      <c r="M254" s="268">
        <f t="shared" si="80"/>
        <v>22.02</v>
      </c>
      <c r="N254" s="268">
        <f t="shared" si="81"/>
        <v>9.36</v>
      </c>
      <c r="O254" s="268">
        <f t="shared" si="82"/>
        <v>12.66</v>
      </c>
      <c r="P254" s="268">
        <f t="shared" si="83"/>
        <v>22.02</v>
      </c>
      <c r="Q254" s="269">
        <f t="shared" si="84"/>
        <v>0</v>
      </c>
      <c r="R254" s="44"/>
      <c r="S254" s="49">
        <f t="shared" si="77"/>
        <v>17.36</v>
      </c>
      <c r="T254" s="126"/>
      <c r="U254" s="48"/>
      <c r="V254" s="48"/>
      <c r="W254" s="48"/>
      <c r="X254" s="48"/>
      <c r="Y254" s="48"/>
      <c r="Z254" s="48"/>
      <c r="AA254" s="48"/>
      <c r="AB254" s="48"/>
      <c r="AC254" s="48"/>
      <c r="AD254" s="48"/>
      <c r="AE254" s="48"/>
      <c r="AF254" s="48"/>
      <c r="AG254" s="48"/>
      <c r="AH254" s="48"/>
      <c r="AI254" s="48"/>
      <c r="AJ254" s="44"/>
      <c r="AK254" s="44"/>
      <c r="AL254" s="44"/>
    </row>
    <row r="255" spans="1:38" x14ac:dyDescent="0.25">
      <c r="A255" s="94"/>
      <c r="B255" s="265" t="s">
        <v>1237</v>
      </c>
      <c r="C255" s="266" t="s">
        <v>1484</v>
      </c>
      <c r="D255" s="265" t="s">
        <v>100</v>
      </c>
      <c r="E255" s="265" t="s">
        <v>1485</v>
      </c>
      <c r="F255" s="267" t="s">
        <v>44</v>
      </c>
      <c r="G255" s="277">
        <v>1</v>
      </c>
      <c r="H255" s="268">
        <f>CPUS!L125</f>
        <v>4149.8999999999996</v>
      </c>
      <c r="I255" s="287">
        <f>CPUS!H129</f>
        <v>179.9</v>
      </c>
      <c r="J255" s="268">
        <f>I255*(1+$M$12)</f>
        <v>214.21</v>
      </c>
      <c r="K255" s="292">
        <f>H255-I255</f>
        <v>3970</v>
      </c>
      <c r="L255" s="268">
        <f>K255*(1+$M$12)</f>
        <v>4727.08</v>
      </c>
      <c r="M255" s="268">
        <f t="shared" si="80"/>
        <v>4941.29</v>
      </c>
      <c r="N255" s="268">
        <f t="shared" si="81"/>
        <v>214.21</v>
      </c>
      <c r="O255" s="268">
        <f t="shared" si="82"/>
        <v>4727.08</v>
      </c>
      <c r="P255" s="268">
        <f t="shared" si="83"/>
        <v>4941.29</v>
      </c>
      <c r="Q255" s="269">
        <f t="shared" si="84"/>
        <v>2E-3</v>
      </c>
      <c r="R255" s="44"/>
      <c r="S255" s="49">
        <f t="shared" si="77"/>
        <v>4149.8999999999996</v>
      </c>
      <c r="T255" s="126"/>
      <c r="U255" s="48"/>
      <c r="V255" s="48"/>
      <c r="W255" s="48"/>
      <c r="X255" s="48"/>
      <c r="Y255" s="48"/>
      <c r="Z255" s="48"/>
      <c r="AA255" s="48"/>
      <c r="AB255" s="48"/>
      <c r="AC255" s="48"/>
      <c r="AD255" s="48"/>
      <c r="AE255" s="48"/>
      <c r="AF255" s="48"/>
      <c r="AG255" s="48"/>
      <c r="AH255" s="48"/>
      <c r="AI255" s="48"/>
      <c r="AJ255" s="44"/>
      <c r="AK255" s="44"/>
      <c r="AL255" s="44"/>
    </row>
    <row r="256" spans="1:38" ht="27.6" x14ac:dyDescent="0.25">
      <c r="A256" s="94"/>
      <c r="B256" s="265" t="s">
        <v>1238</v>
      </c>
      <c r="C256" s="266" t="s">
        <v>640</v>
      </c>
      <c r="D256" s="265" t="s">
        <v>199</v>
      </c>
      <c r="E256" s="265" t="s">
        <v>764</v>
      </c>
      <c r="F256" s="267" t="s">
        <v>393</v>
      </c>
      <c r="G256" s="277">
        <v>1</v>
      </c>
      <c r="H256" s="268">
        <v>7124.29</v>
      </c>
      <c r="I256" s="287">
        <f>46.43+27.08</f>
        <v>73.510000000000005</v>
      </c>
      <c r="J256" s="268">
        <f>I256*(1+$M$12)</f>
        <v>87.53</v>
      </c>
      <c r="K256" s="292">
        <f>H256-I256</f>
        <v>7050.78</v>
      </c>
      <c r="L256" s="268">
        <f>K256*(1+$M$12)</f>
        <v>8395.36</v>
      </c>
      <c r="M256" s="268">
        <f t="shared" si="80"/>
        <v>8482.89</v>
      </c>
      <c r="N256" s="268">
        <f t="shared" si="81"/>
        <v>87.53</v>
      </c>
      <c r="O256" s="268">
        <f t="shared" si="82"/>
        <v>8395.36</v>
      </c>
      <c r="P256" s="268">
        <f t="shared" si="83"/>
        <v>8482.89</v>
      </c>
      <c r="Q256" s="269">
        <f t="shared" si="84"/>
        <v>3.3999999999999998E-3</v>
      </c>
      <c r="R256" s="44"/>
      <c r="S256" s="49">
        <f t="shared" si="77"/>
        <v>7124.29</v>
      </c>
      <c r="T256" s="126"/>
      <c r="U256" s="48"/>
      <c r="V256" s="48"/>
      <c r="W256" s="48"/>
      <c r="X256" s="48"/>
      <c r="Y256" s="48"/>
      <c r="Z256" s="48"/>
      <c r="AA256" s="48"/>
      <c r="AB256" s="48"/>
      <c r="AC256" s="48"/>
      <c r="AD256" s="48"/>
      <c r="AE256" s="48"/>
      <c r="AF256" s="48"/>
      <c r="AG256" s="48"/>
      <c r="AH256" s="48"/>
      <c r="AI256" s="48"/>
      <c r="AJ256" s="44"/>
      <c r="AK256" s="44"/>
      <c r="AL256" s="44"/>
    </row>
    <row r="257" spans="1:38" x14ac:dyDescent="0.25">
      <c r="A257" s="94"/>
      <c r="B257" s="261" t="s">
        <v>1239</v>
      </c>
      <c r="C257" s="261"/>
      <c r="D257" s="261"/>
      <c r="E257" s="261" t="s">
        <v>180</v>
      </c>
      <c r="F257" s="261"/>
      <c r="G257" s="276"/>
      <c r="H257" s="262"/>
      <c r="I257" s="286"/>
      <c r="J257" s="261"/>
      <c r="K257" s="291"/>
      <c r="L257" s="261"/>
      <c r="M257" s="261"/>
      <c r="N257" s="261"/>
      <c r="O257" s="261"/>
      <c r="P257" s="263"/>
      <c r="Q257" s="263"/>
      <c r="R257" s="44"/>
      <c r="S257" s="49">
        <f t="shared" si="77"/>
        <v>0</v>
      </c>
      <c r="T257" s="126"/>
      <c r="U257" s="48"/>
      <c r="V257" s="48"/>
      <c r="W257" s="48"/>
      <c r="X257" s="48"/>
      <c r="Y257" s="48"/>
      <c r="Z257" s="48"/>
      <c r="AA257" s="48"/>
      <c r="AB257" s="48"/>
      <c r="AC257" s="48"/>
      <c r="AD257" s="48"/>
      <c r="AE257" s="48"/>
      <c r="AF257" s="48"/>
      <c r="AG257" s="48"/>
      <c r="AH257" s="48"/>
      <c r="AI257" s="48"/>
      <c r="AJ257" s="44"/>
      <c r="AK257" s="44"/>
      <c r="AL257" s="44"/>
    </row>
    <row r="258" spans="1:38" x14ac:dyDescent="0.25">
      <c r="A258" s="94"/>
      <c r="B258" s="265" t="s">
        <v>1240</v>
      </c>
      <c r="C258" s="266" t="s">
        <v>1102</v>
      </c>
      <c r="D258" s="265" t="s">
        <v>146</v>
      </c>
      <c r="E258" s="265" t="s">
        <v>1103</v>
      </c>
      <c r="F258" s="267" t="s">
        <v>168</v>
      </c>
      <c r="G258" s="277">
        <v>7</v>
      </c>
      <c r="H258" s="268">
        <v>643.75</v>
      </c>
      <c r="I258" s="287">
        <f>3.21+34.69+2.4+76.35+1.13+191.98</f>
        <v>309.76</v>
      </c>
      <c r="J258" s="268">
        <f t="shared" ref="J258:J291" si="89">I258*(1+$M$9)</f>
        <v>392.99</v>
      </c>
      <c r="K258" s="292">
        <f>H258-I258</f>
        <v>333.99</v>
      </c>
      <c r="L258" s="268">
        <f t="shared" ref="L258:L291" si="90">K258*(1+$M$9)</f>
        <v>423.73</v>
      </c>
      <c r="M258" s="268">
        <f t="shared" ref="M258:M291" si="91">L258+J258</f>
        <v>816.72</v>
      </c>
      <c r="N258" s="268">
        <f t="shared" ref="N258:N291" si="92">J258*G258</f>
        <v>2750.93</v>
      </c>
      <c r="O258" s="268">
        <f t="shared" ref="O258:O291" si="93">L258*G258</f>
        <v>2966.11</v>
      </c>
      <c r="P258" s="268">
        <f t="shared" ref="P258:P291" si="94">O258+N258</f>
        <v>5717.04</v>
      </c>
      <c r="Q258" s="269">
        <f t="shared" ref="Q258:Q291" si="95">P258/$O$485</f>
        <v>2.3E-3</v>
      </c>
      <c r="R258" s="44"/>
      <c r="S258" s="49">
        <f t="shared" si="77"/>
        <v>4506.25</v>
      </c>
      <c r="T258" s="126"/>
      <c r="U258" s="48"/>
      <c r="V258" s="48"/>
      <c r="W258" s="48"/>
      <c r="X258" s="48"/>
      <c r="Y258" s="48"/>
      <c r="Z258" s="48"/>
      <c r="AA258" s="48"/>
      <c r="AB258" s="48"/>
      <c r="AC258" s="48"/>
      <c r="AD258" s="48"/>
      <c r="AE258" s="48"/>
      <c r="AF258" s="48"/>
      <c r="AG258" s="48"/>
      <c r="AH258" s="48"/>
      <c r="AI258" s="48"/>
      <c r="AJ258" s="44"/>
      <c r="AK258" s="44"/>
      <c r="AL258" s="44"/>
    </row>
    <row r="259" spans="1:38" ht="27.6" x14ac:dyDescent="0.25">
      <c r="A259" s="94"/>
      <c r="B259" s="265" t="s">
        <v>1241</v>
      </c>
      <c r="C259" s="266" t="s">
        <v>181</v>
      </c>
      <c r="D259" s="265" t="s">
        <v>40</v>
      </c>
      <c r="E259" s="265" t="s">
        <v>182</v>
      </c>
      <c r="F259" s="267" t="s">
        <v>44</v>
      </c>
      <c r="G259" s="277">
        <v>26</v>
      </c>
      <c r="H259" s="268">
        <f t="shared" ref="H259:H278" si="96">I259+K259</f>
        <v>55.64</v>
      </c>
      <c r="I259" s="287">
        <v>14.02</v>
      </c>
      <c r="J259" s="268">
        <f t="shared" si="89"/>
        <v>17.79</v>
      </c>
      <c r="K259" s="292">
        <v>41.62</v>
      </c>
      <c r="L259" s="268">
        <f t="shared" si="90"/>
        <v>52.8</v>
      </c>
      <c r="M259" s="268">
        <f t="shared" si="91"/>
        <v>70.59</v>
      </c>
      <c r="N259" s="268">
        <f t="shared" si="92"/>
        <v>462.54</v>
      </c>
      <c r="O259" s="268">
        <f t="shared" si="93"/>
        <v>1372.8</v>
      </c>
      <c r="P259" s="268">
        <f t="shared" si="94"/>
        <v>1835.34</v>
      </c>
      <c r="Q259" s="269">
        <f t="shared" si="95"/>
        <v>6.9999999999999999E-4</v>
      </c>
      <c r="R259" s="44"/>
      <c r="S259" s="49">
        <f t="shared" si="77"/>
        <v>1446.64</v>
      </c>
      <c r="T259" s="126"/>
      <c r="U259" s="48"/>
      <c r="V259" s="48"/>
      <c r="W259" s="48"/>
      <c r="X259" s="48"/>
      <c r="Y259" s="48"/>
      <c r="Z259" s="48"/>
      <c r="AA259" s="48"/>
      <c r="AB259" s="48"/>
      <c r="AC259" s="48"/>
      <c r="AD259" s="48"/>
      <c r="AE259" s="48"/>
      <c r="AF259" s="48"/>
      <c r="AG259" s="48"/>
      <c r="AH259" s="48"/>
      <c r="AI259" s="48"/>
      <c r="AJ259" s="44"/>
      <c r="AK259" s="44"/>
      <c r="AL259" s="44"/>
    </row>
    <row r="260" spans="1:38" ht="27.6" x14ac:dyDescent="0.25">
      <c r="A260" s="94"/>
      <c r="B260" s="265" t="s">
        <v>1242</v>
      </c>
      <c r="C260" s="266" t="s">
        <v>344</v>
      </c>
      <c r="D260" s="265" t="s">
        <v>40</v>
      </c>
      <c r="E260" s="265" t="s">
        <v>345</v>
      </c>
      <c r="F260" s="267" t="s">
        <v>44</v>
      </c>
      <c r="G260" s="277">
        <v>4</v>
      </c>
      <c r="H260" s="268">
        <f t="shared" si="96"/>
        <v>16.690000000000001</v>
      </c>
      <c r="I260" s="287">
        <v>5.47</v>
      </c>
      <c r="J260" s="268">
        <f t="shared" si="89"/>
        <v>6.94</v>
      </c>
      <c r="K260" s="292">
        <v>11.22</v>
      </c>
      <c r="L260" s="268">
        <f t="shared" si="90"/>
        <v>14.23</v>
      </c>
      <c r="M260" s="268">
        <f t="shared" si="91"/>
        <v>21.17</v>
      </c>
      <c r="N260" s="268">
        <f t="shared" si="92"/>
        <v>27.76</v>
      </c>
      <c r="O260" s="268">
        <f t="shared" si="93"/>
        <v>56.92</v>
      </c>
      <c r="P260" s="268">
        <f t="shared" si="94"/>
        <v>84.68</v>
      </c>
      <c r="Q260" s="269">
        <f t="shared" si="95"/>
        <v>0</v>
      </c>
      <c r="R260" s="44"/>
      <c r="S260" s="49">
        <f t="shared" si="77"/>
        <v>66.760000000000005</v>
      </c>
      <c r="T260" s="126"/>
      <c r="U260" s="48"/>
      <c r="V260" s="48"/>
      <c r="W260" s="48"/>
      <c r="X260" s="48"/>
      <c r="Y260" s="48"/>
      <c r="Z260" s="48"/>
      <c r="AA260" s="48"/>
      <c r="AB260" s="48"/>
      <c r="AC260" s="48"/>
      <c r="AD260" s="48"/>
      <c r="AE260" s="48"/>
      <c r="AF260" s="48"/>
      <c r="AG260" s="48"/>
      <c r="AH260" s="48"/>
      <c r="AI260" s="48"/>
      <c r="AJ260" s="44"/>
      <c r="AK260" s="44"/>
      <c r="AL260" s="44"/>
    </row>
    <row r="261" spans="1:38" x14ac:dyDescent="0.25">
      <c r="A261" s="94"/>
      <c r="B261" s="265" t="s">
        <v>1243</v>
      </c>
      <c r="C261" s="266" t="s">
        <v>261</v>
      </c>
      <c r="D261" s="265" t="s">
        <v>40</v>
      </c>
      <c r="E261" s="265" t="s">
        <v>262</v>
      </c>
      <c r="F261" s="267" t="s">
        <v>44</v>
      </c>
      <c r="G261" s="277">
        <v>37</v>
      </c>
      <c r="H261" s="268">
        <f t="shared" si="96"/>
        <v>9.9700000000000006</v>
      </c>
      <c r="I261" s="287">
        <v>1.92</v>
      </c>
      <c r="J261" s="268">
        <f t="shared" si="89"/>
        <v>2.44</v>
      </c>
      <c r="K261" s="292">
        <v>8.0500000000000007</v>
      </c>
      <c r="L261" s="268">
        <f t="shared" si="90"/>
        <v>10.210000000000001</v>
      </c>
      <c r="M261" s="268">
        <f t="shared" si="91"/>
        <v>12.65</v>
      </c>
      <c r="N261" s="268">
        <f t="shared" si="92"/>
        <v>90.28</v>
      </c>
      <c r="O261" s="268">
        <f t="shared" si="93"/>
        <v>377.77</v>
      </c>
      <c r="P261" s="268">
        <f t="shared" si="94"/>
        <v>468.05</v>
      </c>
      <c r="Q261" s="269">
        <f t="shared" si="95"/>
        <v>2.0000000000000001E-4</v>
      </c>
      <c r="R261" s="44"/>
      <c r="S261" s="49">
        <f t="shared" si="77"/>
        <v>368.89</v>
      </c>
      <c r="T261" s="126"/>
      <c r="U261" s="48"/>
      <c r="V261" s="48"/>
      <c r="W261" s="48"/>
      <c r="X261" s="48"/>
      <c r="Y261" s="48"/>
      <c r="Z261" s="48"/>
      <c r="AA261" s="48"/>
      <c r="AB261" s="48"/>
      <c r="AC261" s="48"/>
      <c r="AD261" s="48"/>
      <c r="AE261" s="48"/>
      <c r="AF261" s="48"/>
      <c r="AG261" s="48"/>
      <c r="AH261" s="48"/>
      <c r="AI261" s="48"/>
      <c r="AJ261" s="44"/>
      <c r="AK261" s="44"/>
      <c r="AL261" s="44"/>
    </row>
    <row r="262" spans="1:38" x14ac:dyDescent="0.25">
      <c r="A262" s="94"/>
      <c r="B262" s="265" t="s">
        <v>1244</v>
      </c>
      <c r="C262" s="266" t="s">
        <v>644</v>
      </c>
      <c r="D262" s="265" t="s">
        <v>40</v>
      </c>
      <c r="E262" s="265" t="s">
        <v>1106</v>
      </c>
      <c r="F262" s="267" t="s">
        <v>44</v>
      </c>
      <c r="G262" s="277">
        <v>2</v>
      </c>
      <c r="H262" s="268">
        <f t="shared" si="96"/>
        <v>18.329999999999998</v>
      </c>
      <c r="I262" s="287">
        <v>3.09</v>
      </c>
      <c r="J262" s="268">
        <f t="shared" si="89"/>
        <v>3.92</v>
      </c>
      <c r="K262" s="292">
        <v>15.24</v>
      </c>
      <c r="L262" s="268">
        <f t="shared" si="90"/>
        <v>19.329999999999998</v>
      </c>
      <c r="M262" s="268">
        <f t="shared" si="91"/>
        <v>23.25</v>
      </c>
      <c r="N262" s="268">
        <f t="shared" si="92"/>
        <v>7.84</v>
      </c>
      <c r="O262" s="268">
        <f t="shared" si="93"/>
        <v>38.659999999999997</v>
      </c>
      <c r="P262" s="268">
        <f t="shared" si="94"/>
        <v>46.5</v>
      </c>
      <c r="Q262" s="269">
        <f t="shared" si="95"/>
        <v>0</v>
      </c>
      <c r="R262" s="44"/>
      <c r="S262" s="49">
        <f t="shared" si="77"/>
        <v>36.659999999999997</v>
      </c>
      <c r="T262" s="126"/>
      <c r="U262" s="48"/>
      <c r="V262" s="48"/>
      <c r="W262" s="48"/>
      <c r="X262" s="48"/>
      <c r="Y262" s="48"/>
      <c r="Z262" s="48"/>
      <c r="AA262" s="48"/>
      <c r="AB262" s="48"/>
      <c r="AC262" s="48"/>
      <c r="AD262" s="48"/>
      <c r="AE262" s="48"/>
      <c r="AF262" s="48"/>
      <c r="AG262" s="48"/>
      <c r="AH262" s="48"/>
      <c r="AI262" s="48"/>
      <c r="AJ262" s="44"/>
      <c r="AK262" s="44"/>
      <c r="AL262" s="44"/>
    </row>
    <row r="263" spans="1:38" ht="27.6" x14ac:dyDescent="0.25">
      <c r="A263" s="94"/>
      <c r="B263" s="265" t="s">
        <v>1245</v>
      </c>
      <c r="C263" s="266" t="s">
        <v>388</v>
      </c>
      <c r="D263" s="265" t="s">
        <v>40</v>
      </c>
      <c r="E263" s="265" t="s">
        <v>1105</v>
      </c>
      <c r="F263" s="267" t="s">
        <v>44</v>
      </c>
      <c r="G263" s="277">
        <v>39</v>
      </c>
      <c r="H263" s="268">
        <f t="shared" si="96"/>
        <v>8</v>
      </c>
      <c r="I263" s="287">
        <v>2.8</v>
      </c>
      <c r="J263" s="268">
        <f t="shared" si="89"/>
        <v>3.55</v>
      </c>
      <c r="K263" s="292">
        <v>5.2</v>
      </c>
      <c r="L263" s="268">
        <f t="shared" si="90"/>
        <v>6.6</v>
      </c>
      <c r="M263" s="268">
        <f t="shared" si="91"/>
        <v>10.15</v>
      </c>
      <c r="N263" s="268">
        <f t="shared" si="92"/>
        <v>138.44999999999999</v>
      </c>
      <c r="O263" s="268">
        <f t="shared" si="93"/>
        <v>257.39999999999998</v>
      </c>
      <c r="P263" s="268">
        <f t="shared" si="94"/>
        <v>395.85</v>
      </c>
      <c r="Q263" s="269">
        <f t="shared" si="95"/>
        <v>2.0000000000000001E-4</v>
      </c>
      <c r="R263" s="44"/>
      <c r="S263" s="49">
        <f t="shared" si="77"/>
        <v>312</v>
      </c>
      <c r="T263" s="126"/>
      <c r="U263" s="48"/>
      <c r="V263" s="48"/>
      <c r="W263" s="48"/>
      <c r="X263" s="48"/>
      <c r="Y263" s="48"/>
      <c r="Z263" s="48"/>
      <c r="AA263" s="48"/>
      <c r="AB263" s="48"/>
      <c r="AC263" s="48"/>
      <c r="AD263" s="48"/>
      <c r="AE263" s="48"/>
      <c r="AF263" s="48"/>
      <c r="AG263" s="48"/>
      <c r="AH263" s="48"/>
      <c r="AI263" s="48"/>
      <c r="AJ263" s="44"/>
      <c r="AK263" s="44"/>
      <c r="AL263" s="44"/>
    </row>
    <row r="264" spans="1:38" ht="27.6" x14ac:dyDescent="0.25">
      <c r="A264" s="94"/>
      <c r="B264" s="265" t="s">
        <v>1246</v>
      </c>
      <c r="C264" s="266" t="s">
        <v>645</v>
      </c>
      <c r="D264" s="265" t="s">
        <v>40</v>
      </c>
      <c r="E264" s="265" t="s">
        <v>646</v>
      </c>
      <c r="F264" s="267" t="s">
        <v>44</v>
      </c>
      <c r="G264" s="277">
        <v>15</v>
      </c>
      <c r="H264" s="268">
        <f t="shared" si="96"/>
        <v>61.96</v>
      </c>
      <c r="I264" s="287">
        <v>4.3499999999999996</v>
      </c>
      <c r="J264" s="268">
        <f t="shared" si="89"/>
        <v>5.52</v>
      </c>
      <c r="K264" s="292">
        <v>57.61</v>
      </c>
      <c r="L264" s="268">
        <f t="shared" si="90"/>
        <v>73.09</v>
      </c>
      <c r="M264" s="268">
        <f t="shared" si="91"/>
        <v>78.61</v>
      </c>
      <c r="N264" s="268">
        <f t="shared" si="92"/>
        <v>82.8</v>
      </c>
      <c r="O264" s="268">
        <f t="shared" si="93"/>
        <v>1096.3499999999999</v>
      </c>
      <c r="P264" s="268">
        <f t="shared" si="94"/>
        <v>1179.1500000000001</v>
      </c>
      <c r="Q264" s="269">
        <f t="shared" si="95"/>
        <v>5.0000000000000001E-4</v>
      </c>
      <c r="R264" s="44"/>
      <c r="S264" s="49">
        <f t="shared" si="77"/>
        <v>929.4</v>
      </c>
      <c r="T264" s="85"/>
      <c r="U264" s="48"/>
      <c r="V264" s="48"/>
      <c r="W264" s="48"/>
      <c r="X264" s="48"/>
      <c r="Y264" s="48"/>
      <c r="Z264" s="48"/>
      <c r="AA264" s="48"/>
      <c r="AB264" s="48"/>
      <c r="AC264" s="48"/>
      <c r="AD264" s="48"/>
      <c r="AE264" s="48"/>
      <c r="AF264" s="48"/>
      <c r="AG264" s="48"/>
      <c r="AH264" s="48"/>
      <c r="AI264" s="48"/>
      <c r="AJ264" s="44"/>
      <c r="AK264" s="44"/>
      <c r="AL264" s="44"/>
    </row>
    <row r="265" spans="1:38" ht="27.6" x14ac:dyDescent="0.25">
      <c r="A265" s="94"/>
      <c r="B265" s="265" t="s">
        <v>1247</v>
      </c>
      <c r="C265" s="266" t="s">
        <v>611</v>
      </c>
      <c r="D265" s="265" t="s">
        <v>40</v>
      </c>
      <c r="E265" s="265" t="s">
        <v>612</v>
      </c>
      <c r="F265" s="267" t="s">
        <v>44</v>
      </c>
      <c r="G265" s="277">
        <v>9</v>
      </c>
      <c r="H265" s="268">
        <f t="shared" si="96"/>
        <v>41.09</v>
      </c>
      <c r="I265" s="287">
        <v>7.19</v>
      </c>
      <c r="J265" s="268">
        <f t="shared" si="89"/>
        <v>9.1199999999999992</v>
      </c>
      <c r="K265" s="292">
        <v>33.9</v>
      </c>
      <c r="L265" s="268">
        <f t="shared" si="90"/>
        <v>43.01</v>
      </c>
      <c r="M265" s="268">
        <f t="shared" si="91"/>
        <v>52.13</v>
      </c>
      <c r="N265" s="268">
        <f t="shared" si="92"/>
        <v>82.08</v>
      </c>
      <c r="O265" s="268">
        <f t="shared" si="93"/>
        <v>387.09</v>
      </c>
      <c r="P265" s="268">
        <f t="shared" si="94"/>
        <v>469.17</v>
      </c>
      <c r="Q265" s="269">
        <f t="shared" si="95"/>
        <v>2.0000000000000001E-4</v>
      </c>
      <c r="R265" s="44"/>
      <c r="S265" s="49">
        <f t="shared" si="77"/>
        <v>369.81</v>
      </c>
      <c r="T265" s="85"/>
      <c r="U265" s="48"/>
      <c r="V265" s="48"/>
      <c r="W265" s="48"/>
      <c r="X265" s="48"/>
      <c r="Y265" s="48"/>
      <c r="Z265" s="48"/>
      <c r="AA265" s="48"/>
      <c r="AB265" s="48"/>
      <c r="AC265" s="48"/>
      <c r="AD265" s="48"/>
      <c r="AE265" s="48"/>
      <c r="AF265" s="48"/>
      <c r="AG265" s="48"/>
      <c r="AH265" s="48"/>
      <c r="AI265" s="48"/>
      <c r="AJ265" s="44"/>
      <c r="AK265" s="44"/>
      <c r="AL265" s="44"/>
    </row>
    <row r="266" spans="1:38" ht="27.6" x14ac:dyDescent="0.25">
      <c r="A266" s="94"/>
      <c r="B266" s="265" t="s">
        <v>1248</v>
      </c>
      <c r="C266" s="266" t="s">
        <v>183</v>
      </c>
      <c r="D266" s="265" t="s">
        <v>40</v>
      </c>
      <c r="E266" s="265" t="s">
        <v>184</v>
      </c>
      <c r="F266" s="267" t="s">
        <v>44</v>
      </c>
      <c r="G266" s="277">
        <v>59</v>
      </c>
      <c r="H266" s="268">
        <f t="shared" si="96"/>
        <v>11.47</v>
      </c>
      <c r="I266" s="287">
        <v>4.21</v>
      </c>
      <c r="J266" s="268">
        <f t="shared" si="89"/>
        <v>5.34</v>
      </c>
      <c r="K266" s="292">
        <v>7.26</v>
      </c>
      <c r="L266" s="268">
        <f t="shared" si="90"/>
        <v>9.2100000000000009</v>
      </c>
      <c r="M266" s="268">
        <f t="shared" si="91"/>
        <v>14.55</v>
      </c>
      <c r="N266" s="268">
        <f t="shared" si="92"/>
        <v>315.06</v>
      </c>
      <c r="O266" s="268">
        <f t="shared" si="93"/>
        <v>543.39</v>
      </c>
      <c r="P266" s="268">
        <f t="shared" si="94"/>
        <v>858.45</v>
      </c>
      <c r="Q266" s="269">
        <f t="shared" si="95"/>
        <v>2.9999999999999997E-4</v>
      </c>
      <c r="R266" s="44"/>
      <c r="S266" s="49">
        <f t="shared" si="77"/>
        <v>676.73</v>
      </c>
      <c r="T266" s="85"/>
      <c r="U266" s="48"/>
      <c r="V266" s="48"/>
      <c r="W266" s="48"/>
      <c r="X266" s="48"/>
      <c r="Y266" s="48"/>
      <c r="Z266" s="48"/>
      <c r="AA266" s="48"/>
      <c r="AB266" s="48"/>
      <c r="AC266" s="48"/>
      <c r="AD266" s="48"/>
      <c r="AE266" s="48"/>
      <c r="AF266" s="48"/>
      <c r="AG266" s="48"/>
      <c r="AH266" s="48"/>
      <c r="AI266" s="48"/>
      <c r="AJ266" s="44"/>
      <c r="AK266" s="44"/>
      <c r="AL266" s="44"/>
    </row>
    <row r="267" spans="1:38" ht="27.6" x14ac:dyDescent="0.25">
      <c r="A267" s="94"/>
      <c r="B267" s="265" t="s">
        <v>1249</v>
      </c>
      <c r="C267" s="266" t="s">
        <v>185</v>
      </c>
      <c r="D267" s="265" t="s">
        <v>40</v>
      </c>
      <c r="E267" s="265" t="s">
        <v>186</v>
      </c>
      <c r="F267" s="267" t="s">
        <v>44</v>
      </c>
      <c r="G267" s="277">
        <v>29</v>
      </c>
      <c r="H267" s="268">
        <f t="shared" si="96"/>
        <v>9.01</v>
      </c>
      <c r="I267" s="287">
        <v>4.22</v>
      </c>
      <c r="J267" s="268">
        <f t="shared" si="89"/>
        <v>5.35</v>
      </c>
      <c r="K267" s="292">
        <v>4.79</v>
      </c>
      <c r="L267" s="268">
        <f t="shared" si="90"/>
        <v>6.08</v>
      </c>
      <c r="M267" s="268">
        <f t="shared" si="91"/>
        <v>11.43</v>
      </c>
      <c r="N267" s="268">
        <f t="shared" si="92"/>
        <v>155.15</v>
      </c>
      <c r="O267" s="268">
        <f t="shared" si="93"/>
        <v>176.32</v>
      </c>
      <c r="P267" s="268">
        <f t="shared" si="94"/>
        <v>331.47</v>
      </c>
      <c r="Q267" s="269">
        <f t="shared" si="95"/>
        <v>1E-4</v>
      </c>
      <c r="R267" s="44"/>
      <c r="S267" s="49">
        <f t="shared" si="77"/>
        <v>261.29000000000002</v>
      </c>
      <c r="T267" s="126"/>
      <c r="U267" s="48"/>
      <c r="V267" s="48"/>
      <c r="W267" s="48"/>
      <c r="X267" s="48"/>
      <c r="Y267" s="48"/>
      <c r="Z267" s="48"/>
      <c r="AA267" s="48"/>
      <c r="AB267" s="48"/>
      <c r="AC267" s="48"/>
      <c r="AD267" s="48"/>
      <c r="AE267" s="48"/>
      <c r="AF267" s="48"/>
      <c r="AG267" s="48"/>
      <c r="AH267" s="48"/>
      <c r="AI267" s="48"/>
      <c r="AJ267" s="44"/>
      <c r="AK267" s="44"/>
      <c r="AL267" s="44"/>
    </row>
    <row r="268" spans="1:38" ht="27.6" x14ac:dyDescent="0.25">
      <c r="A268" s="94"/>
      <c r="B268" s="265" t="s">
        <v>1250</v>
      </c>
      <c r="C268" s="266" t="s">
        <v>647</v>
      </c>
      <c r="D268" s="265" t="s">
        <v>40</v>
      </c>
      <c r="E268" s="265" t="s">
        <v>648</v>
      </c>
      <c r="F268" s="267" t="s">
        <v>44</v>
      </c>
      <c r="G268" s="277">
        <v>28</v>
      </c>
      <c r="H268" s="268">
        <f t="shared" si="96"/>
        <v>14.87</v>
      </c>
      <c r="I268" s="287">
        <v>4.5599999999999996</v>
      </c>
      <c r="J268" s="268">
        <f t="shared" si="89"/>
        <v>5.79</v>
      </c>
      <c r="K268" s="292">
        <v>10.31</v>
      </c>
      <c r="L268" s="268">
        <f t="shared" si="90"/>
        <v>13.08</v>
      </c>
      <c r="M268" s="268">
        <f t="shared" si="91"/>
        <v>18.87</v>
      </c>
      <c r="N268" s="268">
        <f t="shared" si="92"/>
        <v>162.12</v>
      </c>
      <c r="O268" s="268">
        <f t="shared" si="93"/>
        <v>366.24</v>
      </c>
      <c r="P268" s="268">
        <f t="shared" si="94"/>
        <v>528.36</v>
      </c>
      <c r="Q268" s="269">
        <f t="shared" si="95"/>
        <v>2.0000000000000001E-4</v>
      </c>
      <c r="R268" s="44"/>
      <c r="S268" s="49">
        <f t="shared" si="77"/>
        <v>416.36</v>
      </c>
      <c r="T268" s="126"/>
      <c r="U268" s="48"/>
      <c r="V268" s="48"/>
      <c r="W268" s="48"/>
      <c r="X268" s="48"/>
      <c r="Y268" s="48"/>
      <c r="Z268" s="48"/>
      <c r="AA268" s="48"/>
      <c r="AB268" s="48"/>
      <c r="AC268" s="48"/>
      <c r="AD268" s="48"/>
      <c r="AE268" s="48"/>
      <c r="AF268" s="48"/>
      <c r="AG268" s="48"/>
      <c r="AH268" s="48"/>
      <c r="AI268" s="48"/>
      <c r="AJ268" s="44"/>
      <c r="AK268" s="44"/>
      <c r="AL268" s="44"/>
    </row>
    <row r="269" spans="1:38" ht="27.6" x14ac:dyDescent="0.25">
      <c r="A269" s="94"/>
      <c r="B269" s="265" t="s">
        <v>1251</v>
      </c>
      <c r="C269" s="266" t="s">
        <v>649</v>
      </c>
      <c r="D269" s="265" t="s">
        <v>40</v>
      </c>
      <c r="E269" s="265" t="s">
        <v>650</v>
      </c>
      <c r="F269" s="267" t="s">
        <v>44</v>
      </c>
      <c r="G269" s="277">
        <v>6</v>
      </c>
      <c r="H269" s="268">
        <f t="shared" si="96"/>
        <v>22.5</v>
      </c>
      <c r="I269" s="287">
        <v>5.47</v>
      </c>
      <c r="J269" s="268">
        <f t="shared" si="89"/>
        <v>6.94</v>
      </c>
      <c r="K269" s="292">
        <v>17.03</v>
      </c>
      <c r="L269" s="268">
        <f t="shared" si="90"/>
        <v>21.61</v>
      </c>
      <c r="M269" s="268">
        <f t="shared" si="91"/>
        <v>28.55</v>
      </c>
      <c r="N269" s="268">
        <f t="shared" si="92"/>
        <v>41.64</v>
      </c>
      <c r="O269" s="268">
        <f t="shared" si="93"/>
        <v>129.66</v>
      </c>
      <c r="P269" s="268">
        <f t="shared" si="94"/>
        <v>171.3</v>
      </c>
      <c r="Q269" s="269">
        <f t="shared" si="95"/>
        <v>1E-4</v>
      </c>
      <c r="R269" s="44"/>
      <c r="S269" s="49">
        <f t="shared" si="77"/>
        <v>135</v>
      </c>
      <c r="T269" s="126"/>
      <c r="U269" s="48"/>
      <c r="V269" s="48"/>
      <c r="W269" s="48"/>
      <c r="X269" s="48"/>
      <c r="Y269" s="48"/>
      <c r="Z269" s="48"/>
      <c r="AA269" s="48"/>
      <c r="AB269" s="48"/>
      <c r="AC269" s="48"/>
      <c r="AD269" s="48"/>
      <c r="AE269" s="48"/>
      <c r="AF269" s="48"/>
      <c r="AG269" s="48"/>
      <c r="AH269" s="48"/>
      <c r="AI269" s="48"/>
      <c r="AJ269" s="44"/>
      <c r="AK269" s="44"/>
      <c r="AL269" s="44"/>
    </row>
    <row r="270" spans="1:38" ht="27.6" x14ac:dyDescent="0.25">
      <c r="A270" s="44"/>
      <c r="B270" s="265" t="s">
        <v>1252</v>
      </c>
      <c r="C270" s="266" t="s">
        <v>191</v>
      </c>
      <c r="D270" s="265" t="s">
        <v>40</v>
      </c>
      <c r="E270" s="265" t="s">
        <v>192</v>
      </c>
      <c r="F270" s="267" t="s">
        <v>44</v>
      </c>
      <c r="G270" s="277">
        <v>4</v>
      </c>
      <c r="H270" s="268">
        <f t="shared" si="96"/>
        <v>14.21</v>
      </c>
      <c r="I270" s="287">
        <v>4.5599999999999996</v>
      </c>
      <c r="J270" s="268">
        <f t="shared" si="89"/>
        <v>5.79</v>
      </c>
      <c r="K270" s="292">
        <v>9.65</v>
      </c>
      <c r="L270" s="268">
        <f t="shared" si="90"/>
        <v>12.24</v>
      </c>
      <c r="M270" s="268">
        <f t="shared" si="91"/>
        <v>18.03</v>
      </c>
      <c r="N270" s="268">
        <f t="shared" si="92"/>
        <v>23.16</v>
      </c>
      <c r="O270" s="268">
        <f t="shared" si="93"/>
        <v>48.96</v>
      </c>
      <c r="P270" s="268">
        <f t="shared" si="94"/>
        <v>72.12</v>
      </c>
      <c r="Q270" s="269">
        <f t="shared" si="95"/>
        <v>0</v>
      </c>
      <c r="R270" s="44"/>
      <c r="S270" s="49">
        <f t="shared" si="77"/>
        <v>56.84</v>
      </c>
      <c r="T270" s="44"/>
      <c r="U270" s="44"/>
      <c r="V270" s="44"/>
      <c r="W270" s="44"/>
      <c r="X270" s="44"/>
      <c r="Y270" s="44"/>
      <c r="Z270" s="44"/>
      <c r="AA270" s="44"/>
      <c r="AB270" s="44"/>
      <c r="AC270" s="44"/>
      <c r="AD270" s="44"/>
      <c r="AE270" s="44"/>
      <c r="AF270" s="44"/>
      <c r="AG270" s="44"/>
      <c r="AH270" s="44"/>
      <c r="AI270" s="44"/>
      <c r="AJ270" s="44"/>
      <c r="AK270" s="44"/>
      <c r="AL270" s="44"/>
    </row>
    <row r="271" spans="1:38" ht="27.6" x14ac:dyDescent="0.25">
      <c r="A271" s="94"/>
      <c r="B271" s="265" t="s">
        <v>1253</v>
      </c>
      <c r="C271" s="266" t="s">
        <v>187</v>
      </c>
      <c r="D271" s="265" t="s">
        <v>40</v>
      </c>
      <c r="E271" s="265" t="s">
        <v>188</v>
      </c>
      <c r="F271" s="267" t="s">
        <v>44</v>
      </c>
      <c r="G271" s="277">
        <v>38</v>
      </c>
      <c r="H271" s="268">
        <f t="shared" si="96"/>
        <v>8.8000000000000007</v>
      </c>
      <c r="I271" s="287">
        <v>4.22</v>
      </c>
      <c r="J271" s="268">
        <f t="shared" si="89"/>
        <v>5.35</v>
      </c>
      <c r="K271" s="292">
        <v>4.58</v>
      </c>
      <c r="L271" s="268">
        <f t="shared" si="90"/>
        <v>5.81</v>
      </c>
      <c r="M271" s="268">
        <f t="shared" si="91"/>
        <v>11.16</v>
      </c>
      <c r="N271" s="268">
        <f t="shared" si="92"/>
        <v>203.3</v>
      </c>
      <c r="O271" s="268">
        <f t="shared" si="93"/>
        <v>220.78</v>
      </c>
      <c r="P271" s="268">
        <f t="shared" si="94"/>
        <v>424.08</v>
      </c>
      <c r="Q271" s="269">
        <f t="shared" si="95"/>
        <v>2.0000000000000001E-4</v>
      </c>
      <c r="R271" s="44"/>
      <c r="S271" s="49">
        <f t="shared" si="77"/>
        <v>334.4</v>
      </c>
      <c r="T271" s="101"/>
      <c r="U271" s="48"/>
      <c r="V271" s="48"/>
      <c r="W271" s="48"/>
      <c r="X271" s="48"/>
      <c r="Y271" s="48"/>
      <c r="Z271" s="48"/>
      <c r="AA271" s="48"/>
      <c r="AB271" s="48"/>
      <c r="AC271" s="48"/>
      <c r="AD271" s="48"/>
      <c r="AE271" s="48"/>
      <c r="AF271" s="48"/>
      <c r="AG271" s="48"/>
      <c r="AH271" s="48"/>
      <c r="AI271" s="48"/>
      <c r="AJ271" s="48"/>
      <c r="AK271" s="44"/>
      <c r="AL271" s="44"/>
    </row>
    <row r="272" spans="1:38" ht="41.4" x14ac:dyDescent="0.25">
      <c r="A272" s="94"/>
      <c r="B272" s="265" t="s">
        <v>1254</v>
      </c>
      <c r="C272" s="266" t="s">
        <v>651</v>
      </c>
      <c r="D272" s="265" t="s">
        <v>40</v>
      </c>
      <c r="E272" s="265" t="s">
        <v>652</v>
      </c>
      <c r="F272" s="267" t="s">
        <v>44</v>
      </c>
      <c r="G272" s="277">
        <v>9</v>
      </c>
      <c r="H272" s="268">
        <f t="shared" si="96"/>
        <v>40.67</v>
      </c>
      <c r="I272" s="287">
        <v>7.7</v>
      </c>
      <c r="J272" s="268">
        <f t="shared" si="89"/>
        <v>9.77</v>
      </c>
      <c r="K272" s="292">
        <v>32.97</v>
      </c>
      <c r="L272" s="268">
        <f t="shared" si="90"/>
        <v>41.83</v>
      </c>
      <c r="M272" s="268">
        <f t="shared" si="91"/>
        <v>51.6</v>
      </c>
      <c r="N272" s="268">
        <f t="shared" si="92"/>
        <v>87.93</v>
      </c>
      <c r="O272" s="268">
        <f t="shared" si="93"/>
        <v>376.47</v>
      </c>
      <c r="P272" s="268">
        <f t="shared" si="94"/>
        <v>464.4</v>
      </c>
      <c r="Q272" s="269">
        <f t="shared" si="95"/>
        <v>2.0000000000000001E-4</v>
      </c>
      <c r="R272" s="44"/>
      <c r="S272" s="49">
        <f t="shared" si="77"/>
        <v>366.03</v>
      </c>
      <c r="T272" s="101"/>
      <c r="U272" s="48"/>
      <c r="V272" s="48"/>
      <c r="W272" s="48"/>
      <c r="X272" s="48"/>
      <c r="Y272" s="48"/>
      <c r="Z272" s="48"/>
      <c r="AA272" s="48"/>
      <c r="AB272" s="48"/>
      <c r="AC272" s="48"/>
      <c r="AD272" s="48"/>
      <c r="AE272" s="48"/>
      <c r="AF272" s="48"/>
      <c r="AG272" s="48"/>
      <c r="AH272" s="48"/>
      <c r="AI272" s="48"/>
      <c r="AJ272" s="48"/>
      <c r="AK272" s="44"/>
      <c r="AL272" s="44"/>
    </row>
    <row r="273" spans="1:38" ht="41.4" x14ac:dyDescent="0.25">
      <c r="A273" s="138"/>
      <c r="B273" s="265" t="s">
        <v>1255</v>
      </c>
      <c r="C273" s="266" t="s">
        <v>1486</v>
      </c>
      <c r="D273" s="265" t="s">
        <v>40</v>
      </c>
      <c r="E273" s="265" t="s">
        <v>1487</v>
      </c>
      <c r="F273" s="267" t="s">
        <v>44</v>
      </c>
      <c r="G273" s="277">
        <v>1</v>
      </c>
      <c r="H273" s="268">
        <f t="shared" si="96"/>
        <v>45.37</v>
      </c>
      <c r="I273" s="287">
        <v>8.11</v>
      </c>
      <c r="J273" s="268">
        <f t="shared" si="89"/>
        <v>10.29</v>
      </c>
      <c r="K273" s="292">
        <v>37.26</v>
      </c>
      <c r="L273" s="268">
        <f t="shared" si="90"/>
        <v>47.27</v>
      </c>
      <c r="M273" s="268">
        <f t="shared" si="91"/>
        <v>57.56</v>
      </c>
      <c r="N273" s="268">
        <f t="shared" si="92"/>
        <v>10.29</v>
      </c>
      <c r="O273" s="268">
        <f t="shared" si="93"/>
        <v>47.27</v>
      </c>
      <c r="P273" s="268">
        <f t="shared" si="94"/>
        <v>57.56</v>
      </c>
      <c r="Q273" s="269">
        <f t="shared" si="95"/>
        <v>0</v>
      </c>
      <c r="R273" s="44"/>
      <c r="S273" s="49">
        <f t="shared" si="77"/>
        <v>45.37</v>
      </c>
      <c r="T273" s="139"/>
      <c r="U273" s="140"/>
      <c r="V273" s="140"/>
      <c r="W273" s="140"/>
      <c r="X273" s="140"/>
      <c r="Y273" s="140"/>
      <c r="Z273" s="140"/>
      <c r="AA273" s="140"/>
      <c r="AB273" s="140"/>
      <c r="AC273" s="140"/>
      <c r="AD273" s="140"/>
      <c r="AE273" s="140"/>
      <c r="AF273" s="140"/>
      <c r="AG273" s="140"/>
      <c r="AH273" s="140"/>
      <c r="AI273" s="140"/>
      <c r="AJ273" s="140"/>
      <c r="AK273" s="44"/>
      <c r="AL273" s="44"/>
    </row>
    <row r="274" spans="1:38" ht="27.6" x14ac:dyDescent="0.25">
      <c r="A274" s="94"/>
      <c r="B274" s="265" t="s">
        <v>1256</v>
      </c>
      <c r="C274" s="266" t="s">
        <v>653</v>
      </c>
      <c r="D274" s="265" t="s">
        <v>40</v>
      </c>
      <c r="E274" s="265" t="s">
        <v>654</v>
      </c>
      <c r="F274" s="267" t="s">
        <v>44</v>
      </c>
      <c r="G274" s="277">
        <v>7</v>
      </c>
      <c r="H274" s="268">
        <f t="shared" si="96"/>
        <v>12.88</v>
      </c>
      <c r="I274" s="287">
        <v>5.63</v>
      </c>
      <c r="J274" s="268">
        <f t="shared" si="89"/>
        <v>7.14</v>
      </c>
      <c r="K274" s="292">
        <v>7.25</v>
      </c>
      <c r="L274" s="268">
        <f t="shared" si="90"/>
        <v>9.1999999999999993</v>
      </c>
      <c r="M274" s="268">
        <f t="shared" si="91"/>
        <v>16.34</v>
      </c>
      <c r="N274" s="268">
        <f t="shared" si="92"/>
        <v>49.98</v>
      </c>
      <c r="O274" s="268">
        <f t="shared" si="93"/>
        <v>64.400000000000006</v>
      </c>
      <c r="P274" s="268">
        <f t="shared" si="94"/>
        <v>114.38</v>
      </c>
      <c r="Q274" s="269">
        <f t="shared" si="95"/>
        <v>0</v>
      </c>
      <c r="R274" s="44"/>
      <c r="S274" s="49">
        <f t="shared" si="77"/>
        <v>90.16</v>
      </c>
      <c r="T274" s="101"/>
      <c r="U274" s="48"/>
      <c r="V274" s="48"/>
      <c r="W274" s="48"/>
      <c r="X274" s="48"/>
      <c r="Y274" s="48"/>
      <c r="Z274" s="48"/>
      <c r="AA274" s="48"/>
      <c r="AB274" s="48"/>
      <c r="AC274" s="48"/>
      <c r="AD274" s="48"/>
      <c r="AE274" s="48"/>
      <c r="AF274" s="48"/>
      <c r="AG274" s="48"/>
      <c r="AH274" s="48"/>
      <c r="AI274" s="48"/>
      <c r="AJ274" s="48"/>
      <c r="AK274" s="44"/>
      <c r="AL274" s="44"/>
    </row>
    <row r="275" spans="1:38" ht="27.6" x14ac:dyDescent="0.25">
      <c r="A275" s="94"/>
      <c r="B275" s="265" t="s">
        <v>1257</v>
      </c>
      <c r="C275" s="266" t="s">
        <v>1488</v>
      </c>
      <c r="D275" s="265" t="s">
        <v>40</v>
      </c>
      <c r="E275" s="265" t="s">
        <v>1489</v>
      </c>
      <c r="F275" s="267" t="s">
        <v>44</v>
      </c>
      <c r="G275" s="277">
        <v>1</v>
      </c>
      <c r="H275" s="268">
        <f t="shared" si="96"/>
        <v>25.18</v>
      </c>
      <c r="I275" s="287">
        <v>6.09</v>
      </c>
      <c r="J275" s="268">
        <f t="shared" si="89"/>
        <v>7.73</v>
      </c>
      <c r="K275" s="292">
        <v>19.09</v>
      </c>
      <c r="L275" s="268">
        <f t="shared" si="90"/>
        <v>24.22</v>
      </c>
      <c r="M275" s="268">
        <f t="shared" si="91"/>
        <v>31.95</v>
      </c>
      <c r="N275" s="268">
        <f t="shared" si="92"/>
        <v>7.73</v>
      </c>
      <c r="O275" s="268">
        <f t="shared" si="93"/>
        <v>24.22</v>
      </c>
      <c r="P275" s="268">
        <f t="shared" si="94"/>
        <v>31.95</v>
      </c>
      <c r="Q275" s="269">
        <f t="shared" si="95"/>
        <v>0</v>
      </c>
      <c r="R275" s="44"/>
      <c r="S275" s="49">
        <f t="shared" si="77"/>
        <v>25.18</v>
      </c>
      <c r="T275" s="101"/>
      <c r="U275" s="48"/>
      <c r="V275" s="48"/>
      <c r="W275" s="48"/>
      <c r="X275" s="48"/>
      <c r="Y275" s="48"/>
      <c r="Z275" s="48"/>
      <c r="AA275" s="48"/>
      <c r="AB275" s="48"/>
      <c r="AC275" s="48"/>
      <c r="AD275" s="48"/>
      <c r="AE275" s="48"/>
      <c r="AF275" s="48"/>
      <c r="AG275" s="48"/>
      <c r="AH275" s="48"/>
      <c r="AI275" s="48"/>
      <c r="AJ275" s="48"/>
      <c r="AK275" s="44"/>
      <c r="AL275" s="44"/>
    </row>
    <row r="276" spans="1:38" ht="27.6" x14ac:dyDescent="0.25">
      <c r="A276" s="94"/>
      <c r="B276" s="265" t="s">
        <v>1258</v>
      </c>
      <c r="C276" s="266" t="s">
        <v>793</v>
      </c>
      <c r="D276" s="265" t="s">
        <v>40</v>
      </c>
      <c r="E276" s="265" t="s">
        <v>794</v>
      </c>
      <c r="F276" s="267" t="s">
        <v>44</v>
      </c>
      <c r="G276" s="277">
        <v>3</v>
      </c>
      <c r="H276" s="268">
        <f t="shared" si="96"/>
        <v>28.97</v>
      </c>
      <c r="I276" s="287">
        <v>4.2</v>
      </c>
      <c r="J276" s="268">
        <f t="shared" si="89"/>
        <v>5.33</v>
      </c>
      <c r="K276" s="292">
        <v>24.77</v>
      </c>
      <c r="L276" s="268">
        <f t="shared" si="90"/>
        <v>31.43</v>
      </c>
      <c r="M276" s="268">
        <f t="shared" si="91"/>
        <v>36.76</v>
      </c>
      <c r="N276" s="268">
        <f t="shared" si="92"/>
        <v>15.99</v>
      </c>
      <c r="O276" s="268">
        <f t="shared" si="93"/>
        <v>94.29</v>
      </c>
      <c r="P276" s="268">
        <f t="shared" si="94"/>
        <v>110.28</v>
      </c>
      <c r="Q276" s="269">
        <f t="shared" si="95"/>
        <v>0</v>
      </c>
      <c r="R276" s="44"/>
      <c r="S276" s="49">
        <f t="shared" si="77"/>
        <v>86.91</v>
      </c>
      <c r="T276" s="101"/>
      <c r="U276" s="48"/>
      <c r="V276" s="48"/>
      <c r="W276" s="48"/>
      <c r="X276" s="48"/>
      <c r="Y276" s="48"/>
      <c r="Z276" s="48"/>
      <c r="AA276" s="48"/>
      <c r="AB276" s="48"/>
      <c r="AC276" s="48"/>
      <c r="AD276" s="48"/>
      <c r="AE276" s="48"/>
      <c r="AF276" s="48"/>
      <c r="AG276" s="48"/>
      <c r="AH276" s="48"/>
      <c r="AI276" s="48"/>
      <c r="AJ276" s="48"/>
      <c r="AK276" s="44"/>
      <c r="AL276" s="44"/>
    </row>
    <row r="277" spans="1:38" ht="27.6" x14ac:dyDescent="0.25">
      <c r="A277" s="94"/>
      <c r="B277" s="265" t="s">
        <v>1259</v>
      </c>
      <c r="C277" s="266">
        <v>89795</v>
      </c>
      <c r="D277" s="265" t="s">
        <v>40</v>
      </c>
      <c r="E277" s="265" t="s">
        <v>655</v>
      </c>
      <c r="F277" s="267" t="s">
        <v>44</v>
      </c>
      <c r="G277" s="277">
        <v>5</v>
      </c>
      <c r="H277" s="268">
        <f t="shared" si="96"/>
        <v>38.840000000000003</v>
      </c>
      <c r="I277" s="287">
        <v>7.3</v>
      </c>
      <c r="J277" s="268">
        <f t="shared" si="89"/>
        <v>9.26</v>
      </c>
      <c r="K277" s="292">
        <v>31.54</v>
      </c>
      <c r="L277" s="268">
        <f t="shared" si="90"/>
        <v>40.01</v>
      </c>
      <c r="M277" s="268">
        <f t="shared" si="91"/>
        <v>49.27</v>
      </c>
      <c r="N277" s="268">
        <f t="shared" si="92"/>
        <v>46.3</v>
      </c>
      <c r="O277" s="268">
        <f t="shared" si="93"/>
        <v>200.05</v>
      </c>
      <c r="P277" s="268">
        <f t="shared" si="94"/>
        <v>246.35</v>
      </c>
      <c r="Q277" s="269">
        <f t="shared" si="95"/>
        <v>1E-4</v>
      </c>
      <c r="R277" s="44"/>
      <c r="S277" s="49">
        <f t="shared" ref="S277:S340" si="97">G277*H277</f>
        <v>194.2</v>
      </c>
      <c r="T277" s="101"/>
      <c r="U277" s="48"/>
      <c r="V277" s="48"/>
      <c r="W277" s="48"/>
      <c r="X277" s="48"/>
      <c r="Y277" s="48"/>
      <c r="Z277" s="48"/>
      <c r="AA277" s="48"/>
      <c r="AB277" s="48"/>
      <c r="AC277" s="48"/>
      <c r="AD277" s="48"/>
      <c r="AE277" s="48"/>
      <c r="AF277" s="48"/>
      <c r="AG277" s="48"/>
      <c r="AH277" s="48"/>
      <c r="AI277" s="48"/>
      <c r="AJ277" s="48"/>
      <c r="AK277" s="44"/>
      <c r="AL277" s="44"/>
    </row>
    <row r="278" spans="1:38" ht="27.6" x14ac:dyDescent="0.25">
      <c r="A278" s="94"/>
      <c r="B278" s="265" t="s">
        <v>1260</v>
      </c>
      <c r="C278" s="266" t="s">
        <v>189</v>
      </c>
      <c r="D278" s="265" t="s">
        <v>40</v>
      </c>
      <c r="E278" s="265" t="s">
        <v>190</v>
      </c>
      <c r="F278" s="267" t="s">
        <v>44</v>
      </c>
      <c r="G278" s="277">
        <v>5</v>
      </c>
      <c r="H278" s="268">
        <f t="shared" si="96"/>
        <v>18.670000000000002</v>
      </c>
      <c r="I278" s="287">
        <v>1.69</v>
      </c>
      <c r="J278" s="268">
        <f t="shared" si="89"/>
        <v>2.14</v>
      </c>
      <c r="K278" s="292">
        <v>16.98</v>
      </c>
      <c r="L278" s="268">
        <f t="shared" si="90"/>
        <v>21.54</v>
      </c>
      <c r="M278" s="268">
        <f t="shared" si="91"/>
        <v>23.68</v>
      </c>
      <c r="N278" s="268">
        <f t="shared" si="92"/>
        <v>10.7</v>
      </c>
      <c r="O278" s="268">
        <f t="shared" si="93"/>
        <v>107.7</v>
      </c>
      <c r="P278" s="268">
        <f t="shared" si="94"/>
        <v>118.4</v>
      </c>
      <c r="Q278" s="269">
        <f t="shared" si="95"/>
        <v>0</v>
      </c>
      <c r="R278" s="44"/>
      <c r="S278" s="49">
        <f t="shared" si="97"/>
        <v>93.35</v>
      </c>
      <c r="T278" s="101"/>
      <c r="U278" s="48"/>
      <c r="V278" s="48"/>
      <c r="W278" s="48"/>
      <c r="X278" s="48"/>
      <c r="Y278" s="48"/>
      <c r="Z278" s="48"/>
      <c r="AA278" s="48"/>
      <c r="AB278" s="48"/>
      <c r="AC278" s="48"/>
      <c r="AD278" s="48"/>
      <c r="AE278" s="48"/>
      <c r="AF278" s="48"/>
      <c r="AG278" s="48"/>
      <c r="AH278" s="48"/>
      <c r="AI278" s="48"/>
      <c r="AJ278" s="48"/>
      <c r="AK278" s="44"/>
      <c r="AL278" s="44"/>
    </row>
    <row r="279" spans="1:38" ht="27.6" x14ac:dyDescent="0.25">
      <c r="A279" s="94"/>
      <c r="B279" s="265" t="s">
        <v>1261</v>
      </c>
      <c r="C279" s="266" t="s">
        <v>656</v>
      </c>
      <c r="D279" s="265" t="s">
        <v>199</v>
      </c>
      <c r="E279" s="265" t="s">
        <v>765</v>
      </c>
      <c r="F279" s="267" t="s">
        <v>240</v>
      </c>
      <c r="G279" s="277">
        <v>157.4</v>
      </c>
      <c r="H279" s="268">
        <v>100.91</v>
      </c>
      <c r="I279" s="287">
        <f>20.43+29.79</f>
        <v>50.22</v>
      </c>
      <c r="J279" s="268">
        <f t="shared" si="89"/>
        <v>63.71</v>
      </c>
      <c r="K279" s="292">
        <f t="shared" ref="K279:K285" si="98">H279-I279</f>
        <v>50.69</v>
      </c>
      <c r="L279" s="268">
        <f t="shared" si="90"/>
        <v>64.31</v>
      </c>
      <c r="M279" s="268">
        <f t="shared" si="91"/>
        <v>128.02000000000001</v>
      </c>
      <c r="N279" s="268">
        <f t="shared" si="92"/>
        <v>10027.950000000001</v>
      </c>
      <c r="O279" s="268">
        <f t="shared" si="93"/>
        <v>10122.39</v>
      </c>
      <c r="P279" s="268">
        <f t="shared" si="94"/>
        <v>20150.34</v>
      </c>
      <c r="Q279" s="269">
        <f t="shared" si="95"/>
        <v>8.0000000000000002E-3</v>
      </c>
      <c r="R279" s="44"/>
      <c r="S279" s="49">
        <f t="shared" si="97"/>
        <v>15883.23</v>
      </c>
      <c r="T279" s="101"/>
      <c r="U279" s="48"/>
      <c r="V279" s="48"/>
      <c r="W279" s="48"/>
      <c r="X279" s="48"/>
      <c r="Y279" s="48"/>
      <c r="Z279" s="48"/>
      <c r="AA279" s="48"/>
      <c r="AB279" s="48"/>
      <c r="AC279" s="48"/>
      <c r="AD279" s="48"/>
      <c r="AE279" s="48"/>
      <c r="AF279" s="48"/>
      <c r="AG279" s="48"/>
      <c r="AH279" s="48"/>
      <c r="AI279" s="48"/>
      <c r="AJ279" s="48"/>
      <c r="AK279" s="44"/>
      <c r="AL279" s="44"/>
    </row>
    <row r="280" spans="1:38" ht="27.6" x14ac:dyDescent="0.25">
      <c r="A280" s="94"/>
      <c r="B280" s="265" t="s">
        <v>1262</v>
      </c>
      <c r="C280" s="266" t="s">
        <v>657</v>
      </c>
      <c r="D280" s="265" t="s">
        <v>199</v>
      </c>
      <c r="E280" s="265" t="s">
        <v>766</v>
      </c>
      <c r="F280" s="267" t="s">
        <v>240</v>
      </c>
      <c r="G280" s="277">
        <v>85.3</v>
      </c>
      <c r="H280" s="268">
        <v>47.53</v>
      </c>
      <c r="I280" s="287">
        <f>11.14+16.25</f>
        <v>27.39</v>
      </c>
      <c r="J280" s="268">
        <f t="shared" si="89"/>
        <v>34.75</v>
      </c>
      <c r="K280" s="292">
        <f t="shared" si="98"/>
        <v>20.14</v>
      </c>
      <c r="L280" s="268">
        <f t="shared" si="90"/>
        <v>25.55</v>
      </c>
      <c r="M280" s="268">
        <f t="shared" si="91"/>
        <v>60.3</v>
      </c>
      <c r="N280" s="268">
        <f t="shared" si="92"/>
        <v>2964.18</v>
      </c>
      <c r="O280" s="268">
        <f t="shared" si="93"/>
        <v>2179.42</v>
      </c>
      <c r="P280" s="268">
        <f t="shared" si="94"/>
        <v>5143.6000000000004</v>
      </c>
      <c r="Q280" s="269">
        <f t="shared" si="95"/>
        <v>2E-3</v>
      </c>
      <c r="R280" s="44"/>
      <c r="S280" s="49">
        <f t="shared" si="97"/>
        <v>4054.31</v>
      </c>
      <c r="T280" s="101"/>
      <c r="U280" s="48"/>
      <c r="V280" s="48"/>
      <c r="W280" s="48"/>
      <c r="X280" s="48"/>
      <c r="Y280" s="48"/>
      <c r="Z280" s="48"/>
      <c r="AA280" s="48"/>
      <c r="AB280" s="48"/>
      <c r="AC280" s="48"/>
      <c r="AD280" s="48"/>
      <c r="AE280" s="48"/>
      <c r="AF280" s="48"/>
      <c r="AG280" s="48"/>
      <c r="AH280" s="48"/>
      <c r="AI280" s="48"/>
      <c r="AJ280" s="48"/>
      <c r="AK280" s="44"/>
      <c r="AL280" s="44"/>
    </row>
    <row r="281" spans="1:38" ht="27.6" x14ac:dyDescent="0.25">
      <c r="A281" s="94"/>
      <c r="B281" s="265" t="s">
        <v>1263</v>
      </c>
      <c r="C281" s="266" t="s">
        <v>658</v>
      </c>
      <c r="D281" s="265" t="s">
        <v>199</v>
      </c>
      <c r="E281" s="265" t="s">
        <v>767</v>
      </c>
      <c r="F281" s="267" t="s">
        <v>240</v>
      </c>
      <c r="G281" s="277">
        <v>47</v>
      </c>
      <c r="H281" s="268">
        <v>77.94</v>
      </c>
      <c r="I281" s="287">
        <f>16.71+24.37</f>
        <v>41.08</v>
      </c>
      <c r="J281" s="268">
        <f t="shared" si="89"/>
        <v>52.12</v>
      </c>
      <c r="K281" s="292">
        <f t="shared" si="98"/>
        <v>36.86</v>
      </c>
      <c r="L281" s="268">
        <f t="shared" si="90"/>
        <v>46.76</v>
      </c>
      <c r="M281" s="268">
        <f t="shared" si="91"/>
        <v>98.88</v>
      </c>
      <c r="N281" s="268">
        <f t="shared" si="92"/>
        <v>2449.64</v>
      </c>
      <c r="O281" s="268">
        <f t="shared" si="93"/>
        <v>2197.7199999999998</v>
      </c>
      <c r="P281" s="268">
        <f t="shared" si="94"/>
        <v>4647.3599999999997</v>
      </c>
      <c r="Q281" s="269">
        <f t="shared" si="95"/>
        <v>1.8E-3</v>
      </c>
      <c r="R281" s="44"/>
      <c r="S281" s="49">
        <f t="shared" si="97"/>
        <v>3663.18</v>
      </c>
      <c r="T281" s="101"/>
      <c r="U281" s="48"/>
      <c r="V281" s="48"/>
      <c r="W281" s="48"/>
      <c r="X281" s="48"/>
      <c r="Y281" s="48"/>
      <c r="Z281" s="48"/>
      <c r="AA281" s="48"/>
      <c r="AB281" s="48"/>
      <c r="AC281" s="48"/>
      <c r="AD281" s="48"/>
      <c r="AE281" s="48"/>
      <c r="AF281" s="48"/>
      <c r="AG281" s="48"/>
      <c r="AH281" s="48"/>
      <c r="AI281" s="48"/>
      <c r="AJ281" s="48"/>
      <c r="AK281" s="44"/>
      <c r="AL281" s="44"/>
    </row>
    <row r="282" spans="1:38" x14ac:dyDescent="0.25">
      <c r="A282" s="94"/>
      <c r="B282" s="265" t="s">
        <v>1264</v>
      </c>
      <c r="C282" s="266" t="s">
        <v>659</v>
      </c>
      <c r="D282" s="265" t="s">
        <v>199</v>
      </c>
      <c r="E282" s="265" t="s">
        <v>768</v>
      </c>
      <c r="F282" s="267" t="s">
        <v>240</v>
      </c>
      <c r="G282" s="277">
        <v>48.9</v>
      </c>
      <c r="H282" s="268">
        <v>44.3</v>
      </c>
      <c r="I282" s="287">
        <f>9.29+13.54</f>
        <v>22.83</v>
      </c>
      <c r="J282" s="268">
        <f t="shared" si="89"/>
        <v>28.96</v>
      </c>
      <c r="K282" s="292">
        <f t="shared" si="98"/>
        <v>21.47</v>
      </c>
      <c r="L282" s="268">
        <f t="shared" si="90"/>
        <v>27.24</v>
      </c>
      <c r="M282" s="268">
        <f t="shared" si="91"/>
        <v>56.2</v>
      </c>
      <c r="N282" s="268">
        <f t="shared" si="92"/>
        <v>1416.14</v>
      </c>
      <c r="O282" s="268">
        <f t="shared" si="93"/>
        <v>1332.04</v>
      </c>
      <c r="P282" s="268">
        <f t="shared" si="94"/>
        <v>2748.18</v>
      </c>
      <c r="Q282" s="269">
        <f t="shared" si="95"/>
        <v>1.1000000000000001E-3</v>
      </c>
      <c r="R282" s="44"/>
      <c r="S282" s="49">
        <f t="shared" si="97"/>
        <v>2166.27</v>
      </c>
      <c r="T282" s="101"/>
      <c r="U282" s="48"/>
      <c r="V282" s="48"/>
      <c r="W282" s="48"/>
      <c r="X282" s="48"/>
      <c r="Y282" s="48"/>
      <c r="Z282" s="48"/>
      <c r="AA282" s="48"/>
      <c r="AB282" s="48"/>
      <c r="AC282" s="48"/>
      <c r="AD282" s="48"/>
      <c r="AE282" s="48"/>
      <c r="AF282" s="48"/>
      <c r="AG282" s="48"/>
      <c r="AH282" s="48"/>
      <c r="AI282" s="48"/>
      <c r="AJ282" s="48"/>
      <c r="AK282" s="44"/>
      <c r="AL282" s="44"/>
    </row>
    <row r="283" spans="1:38" ht="27.6" x14ac:dyDescent="0.25">
      <c r="A283" s="94"/>
      <c r="B283" s="265" t="s">
        <v>1265</v>
      </c>
      <c r="C283" s="266" t="s">
        <v>660</v>
      </c>
      <c r="D283" s="265" t="s">
        <v>199</v>
      </c>
      <c r="E283" s="265" t="s">
        <v>769</v>
      </c>
      <c r="F283" s="267" t="s">
        <v>240</v>
      </c>
      <c r="G283" s="277">
        <v>22.8</v>
      </c>
      <c r="H283" s="268">
        <v>34.200000000000003</v>
      </c>
      <c r="I283" s="287">
        <f>9.29+13.54</f>
        <v>22.83</v>
      </c>
      <c r="J283" s="268">
        <f t="shared" si="89"/>
        <v>28.96</v>
      </c>
      <c r="K283" s="292">
        <f t="shared" si="98"/>
        <v>11.37</v>
      </c>
      <c r="L283" s="268">
        <f t="shared" si="90"/>
        <v>14.43</v>
      </c>
      <c r="M283" s="268">
        <f t="shared" si="91"/>
        <v>43.39</v>
      </c>
      <c r="N283" s="268">
        <f t="shared" si="92"/>
        <v>660.29</v>
      </c>
      <c r="O283" s="268">
        <f t="shared" si="93"/>
        <v>329</v>
      </c>
      <c r="P283" s="268">
        <f t="shared" si="94"/>
        <v>989.29</v>
      </c>
      <c r="Q283" s="269">
        <f t="shared" si="95"/>
        <v>4.0000000000000002E-4</v>
      </c>
      <c r="R283" s="44"/>
      <c r="S283" s="49">
        <f t="shared" si="97"/>
        <v>779.76</v>
      </c>
      <c r="T283" s="101"/>
      <c r="U283" s="48"/>
      <c r="V283" s="48"/>
      <c r="W283" s="48"/>
      <c r="X283" s="48"/>
      <c r="Y283" s="48"/>
      <c r="Z283" s="48"/>
      <c r="AA283" s="48"/>
      <c r="AB283" s="48"/>
      <c r="AC283" s="48"/>
      <c r="AD283" s="48"/>
      <c r="AE283" s="48"/>
      <c r="AF283" s="48"/>
      <c r="AG283" s="48"/>
      <c r="AH283" s="48"/>
      <c r="AI283" s="48"/>
      <c r="AJ283" s="48"/>
      <c r="AK283" s="44"/>
      <c r="AL283" s="44"/>
    </row>
    <row r="284" spans="1:38" ht="27.6" x14ac:dyDescent="0.25">
      <c r="A284" s="94"/>
      <c r="B284" s="265" t="s">
        <v>1266</v>
      </c>
      <c r="C284" s="266" t="s">
        <v>661</v>
      </c>
      <c r="D284" s="265" t="s">
        <v>199</v>
      </c>
      <c r="E284" s="265" t="s">
        <v>770</v>
      </c>
      <c r="F284" s="267" t="s">
        <v>240</v>
      </c>
      <c r="G284" s="277">
        <v>1.5</v>
      </c>
      <c r="H284" s="268">
        <v>40.130000000000003</v>
      </c>
      <c r="I284" s="287">
        <f>9.29+13.54</f>
        <v>22.83</v>
      </c>
      <c r="J284" s="268">
        <f t="shared" si="89"/>
        <v>28.96</v>
      </c>
      <c r="K284" s="292">
        <f t="shared" si="98"/>
        <v>17.3</v>
      </c>
      <c r="L284" s="268">
        <f t="shared" si="90"/>
        <v>21.95</v>
      </c>
      <c r="M284" s="268">
        <f t="shared" si="91"/>
        <v>50.91</v>
      </c>
      <c r="N284" s="268">
        <f t="shared" si="92"/>
        <v>43.44</v>
      </c>
      <c r="O284" s="268">
        <f t="shared" si="93"/>
        <v>32.93</v>
      </c>
      <c r="P284" s="268">
        <f t="shared" si="94"/>
        <v>76.37</v>
      </c>
      <c r="Q284" s="269">
        <f t="shared" si="95"/>
        <v>0</v>
      </c>
      <c r="R284" s="44"/>
      <c r="S284" s="49">
        <f t="shared" si="97"/>
        <v>60.2</v>
      </c>
      <c r="T284" s="101"/>
      <c r="U284" s="48"/>
      <c r="V284" s="48"/>
      <c r="W284" s="48"/>
      <c r="X284" s="48"/>
      <c r="Y284" s="48"/>
      <c r="Z284" s="48"/>
      <c r="AA284" s="48"/>
      <c r="AB284" s="48"/>
      <c r="AC284" s="48"/>
      <c r="AD284" s="48"/>
      <c r="AE284" s="48"/>
      <c r="AF284" s="48"/>
      <c r="AG284" s="48"/>
      <c r="AH284" s="48"/>
      <c r="AI284" s="48"/>
      <c r="AJ284" s="48"/>
      <c r="AK284" s="44"/>
      <c r="AL284" s="44"/>
    </row>
    <row r="285" spans="1:38" x14ac:dyDescent="0.25">
      <c r="A285" s="94"/>
      <c r="B285" s="265" t="s">
        <v>1267</v>
      </c>
      <c r="C285" s="266" t="s">
        <v>662</v>
      </c>
      <c r="D285" s="265" t="s">
        <v>146</v>
      </c>
      <c r="E285" s="265" t="s">
        <v>663</v>
      </c>
      <c r="F285" s="267" t="s">
        <v>168</v>
      </c>
      <c r="G285" s="277">
        <v>9</v>
      </c>
      <c r="H285" s="268">
        <v>23.16</v>
      </c>
      <c r="I285" s="287">
        <f>0.88+0.9+4.4+3.14</f>
        <v>9.32</v>
      </c>
      <c r="J285" s="268">
        <f t="shared" si="89"/>
        <v>11.82</v>
      </c>
      <c r="K285" s="292">
        <f t="shared" si="98"/>
        <v>13.84</v>
      </c>
      <c r="L285" s="268">
        <f t="shared" si="90"/>
        <v>17.559999999999999</v>
      </c>
      <c r="M285" s="268">
        <f t="shared" si="91"/>
        <v>29.38</v>
      </c>
      <c r="N285" s="268">
        <f t="shared" si="92"/>
        <v>106.38</v>
      </c>
      <c r="O285" s="268">
        <f t="shared" si="93"/>
        <v>158.04</v>
      </c>
      <c r="P285" s="268">
        <f t="shared" si="94"/>
        <v>264.42</v>
      </c>
      <c r="Q285" s="269">
        <f t="shared" si="95"/>
        <v>1E-4</v>
      </c>
      <c r="R285" s="44"/>
      <c r="S285" s="49">
        <f t="shared" si="97"/>
        <v>208.44</v>
      </c>
      <c r="T285" s="101"/>
      <c r="U285" s="48"/>
      <c r="V285" s="48"/>
      <c r="W285" s="48"/>
      <c r="X285" s="48"/>
      <c r="Y285" s="48"/>
      <c r="Z285" s="48"/>
      <c r="AA285" s="48"/>
      <c r="AB285" s="48"/>
      <c r="AC285" s="48"/>
      <c r="AD285" s="48"/>
      <c r="AE285" s="48"/>
      <c r="AF285" s="48"/>
      <c r="AG285" s="48"/>
      <c r="AH285" s="48"/>
      <c r="AI285" s="48"/>
      <c r="AJ285" s="48"/>
      <c r="AK285" s="44"/>
      <c r="AL285" s="44"/>
    </row>
    <row r="286" spans="1:38" ht="27.6" x14ac:dyDescent="0.25">
      <c r="A286" s="94"/>
      <c r="B286" s="265" t="s">
        <v>1268</v>
      </c>
      <c r="C286" s="266" t="s">
        <v>618</v>
      </c>
      <c r="D286" s="265" t="s">
        <v>40</v>
      </c>
      <c r="E286" s="265" t="s">
        <v>619</v>
      </c>
      <c r="F286" s="267" t="s">
        <v>44</v>
      </c>
      <c r="G286" s="277">
        <v>17</v>
      </c>
      <c r="H286" s="268">
        <f>I286+K286</f>
        <v>6.11</v>
      </c>
      <c r="I286" s="287">
        <v>3.15</v>
      </c>
      <c r="J286" s="268">
        <f t="shared" si="89"/>
        <v>4</v>
      </c>
      <c r="K286" s="292">
        <v>2.96</v>
      </c>
      <c r="L286" s="268">
        <f t="shared" si="90"/>
        <v>3.76</v>
      </c>
      <c r="M286" s="268">
        <f t="shared" si="91"/>
        <v>7.76</v>
      </c>
      <c r="N286" s="268">
        <f t="shared" si="92"/>
        <v>68</v>
      </c>
      <c r="O286" s="268">
        <f t="shared" si="93"/>
        <v>63.92</v>
      </c>
      <c r="P286" s="268">
        <f t="shared" si="94"/>
        <v>131.91999999999999</v>
      </c>
      <c r="Q286" s="269">
        <f t="shared" si="95"/>
        <v>1E-4</v>
      </c>
      <c r="R286" s="44"/>
      <c r="S286" s="49">
        <f t="shared" si="97"/>
        <v>103.87</v>
      </c>
      <c r="T286" s="141"/>
      <c r="U286" s="48"/>
      <c r="V286" s="48"/>
      <c r="W286" s="48"/>
      <c r="X286" s="48"/>
      <c r="Y286" s="48"/>
      <c r="Z286" s="48"/>
      <c r="AA286" s="48"/>
      <c r="AB286" s="48"/>
      <c r="AC286" s="48"/>
      <c r="AD286" s="48"/>
      <c r="AE286" s="48"/>
      <c r="AF286" s="48"/>
      <c r="AG286" s="48"/>
      <c r="AH286" s="48"/>
      <c r="AI286" s="48"/>
      <c r="AJ286" s="48"/>
      <c r="AK286" s="44"/>
      <c r="AL286" s="44"/>
    </row>
    <row r="287" spans="1:38" ht="27.6" x14ac:dyDescent="0.25">
      <c r="A287" s="94"/>
      <c r="B287" s="265" t="s">
        <v>1269</v>
      </c>
      <c r="C287" s="266" t="s">
        <v>177</v>
      </c>
      <c r="D287" s="265" t="s">
        <v>40</v>
      </c>
      <c r="E287" s="265" t="s">
        <v>178</v>
      </c>
      <c r="F287" s="267" t="s">
        <v>44</v>
      </c>
      <c r="G287" s="277">
        <v>17</v>
      </c>
      <c r="H287" s="268">
        <f>I287+K287</f>
        <v>9.33</v>
      </c>
      <c r="I287" s="287">
        <v>3.62</v>
      </c>
      <c r="J287" s="268">
        <f t="shared" si="89"/>
        <v>4.59</v>
      </c>
      <c r="K287" s="292">
        <v>5.71</v>
      </c>
      <c r="L287" s="268">
        <f t="shared" si="90"/>
        <v>7.24</v>
      </c>
      <c r="M287" s="268">
        <f t="shared" si="91"/>
        <v>11.83</v>
      </c>
      <c r="N287" s="268">
        <f t="shared" si="92"/>
        <v>78.03</v>
      </c>
      <c r="O287" s="268">
        <f t="shared" si="93"/>
        <v>123.08</v>
      </c>
      <c r="P287" s="268">
        <f t="shared" si="94"/>
        <v>201.11</v>
      </c>
      <c r="Q287" s="269">
        <f t="shared" si="95"/>
        <v>1E-4</v>
      </c>
      <c r="R287" s="44"/>
      <c r="S287" s="49">
        <f t="shared" si="97"/>
        <v>158.61000000000001</v>
      </c>
      <c r="T287" s="48"/>
      <c r="U287" s="48"/>
      <c r="V287" s="48"/>
      <c r="W287" s="48"/>
      <c r="X287" s="48"/>
      <c r="Y287" s="48"/>
      <c r="Z287" s="48"/>
      <c r="AA287" s="48"/>
      <c r="AB287" s="48"/>
      <c r="AC287" s="48"/>
      <c r="AD287" s="48"/>
      <c r="AE287" s="48"/>
      <c r="AF287" s="48"/>
      <c r="AG287" s="48"/>
      <c r="AH287" s="48"/>
      <c r="AI287" s="48"/>
      <c r="AJ287" s="48"/>
      <c r="AK287" s="44"/>
      <c r="AL287" s="44"/>
    </row>
    <row r="288" spans="1:38" ht="27.6" x14ac:dyDescent="0.25">
      <c r="A288" s="142"/>
      <c r="B288" s="265" t="s">
        <v>1270</v>
      </c>
      <c r="C288" s="266" t="s">
        <v>628</v>
      </c>
      <c r="D288" s="265" t="s">
        <v>40</v>
      </c>
      <c r="E288" s="265" t="s">
        <v>629</v>
      </c>
      <c r="F288" s="267" t="s">
        <v>44</v>
      </c>
      <c r="G288" s="277">
        <v>17</v>
      </c>
      <c r="H288" s="268">
        <f>I288+K288</f>
        <v>11.53</v>
      </c>
      <c r="I288" s="287">
        <v>3.35</v>
      </c>
      <c r="J288" s="268">
        <f t="shared" si="89"/>
        <v>4.25</v>
      </c>
      <c r="K288" s="292">
        <v>8.18</v>
      </c>
      <c r="L288" s="268">
        <f t="shared" si="90"/>
        <v>10.38</v>
      </c>
      <c r="M288" s="268">
        <f t="shared" si="91"/>
        <v>14.63</v>
      </c>
      <c r="N288" s="268">
        <f t="shared" si="92"/>
        <v>72.25</v>
      </c>
      <c r="O288" s="268">
        <f t="shared" si="93"/>
        <v>176.46</v>
      </c>
      <c r="P288" s="268">
        <f t="shared" si="94"/>
        <v>248.71</v>
      </c>
      <c r="Q288" s="269">
        <f t="shared" si="95"/>
        <v>1E-4</v>
      </c>
      <c r="R288" s="44"/>
      <c r="S288" s="49">
        <f t="shared" si="97"/>
        <v>196.01</v>
      </c>
      <c r="T288" s="143"/>
      <c r="U288" s="143"/>
      <c r="V288" s="143"/>
      <c r="W288" s="143"/>
      <c r="X288" s="143"/>
      <c r="Y288" s="143"/>
      <c r="Z288" s="143"/>
      <c r="AA288" s="143"/>
      <c r="AB288" s="143"/>
      <c r="AC288" s="143"/>
      <c r="AD288" s="143"/>
      <c r="AE288" s="143"/>
      <c r="AF288" s="143"/>
      <c r="AG288" s="143"/>
      <c r="AH288" s="143"/>
      <c r="AI288" s="143"/>
      <c r="AJ288" s="143"/>
      <c r="AK288" s="44"/>
      <c r="AL288" s="44"/>
    </row>
    <row r="289" spans="1:38" ht="27.6" x14ac:dyDescent="0.25">
      <c r="A289" s="142"/>
      <c r="B289" s="265" t="s">
        <v>1271</v>
      </c>
      <c r="C289" s="266" t="s">
        <v>175</v>
      </c>
      <c r="D289" s="265" t="s">
        <v>40</v>
      </c>
      <c r="E289" s="265" t="s">
        <v>176</v>
      </c>
      <c r="F289" s="267" t="s">
        <v>44</v>
      </c>
      <c r="G289" s="277">
        <v>34</v>
      </c>
      <c r="H289" s="268">
        <f>I289+K289</f>
        <v>7.35</v>
      </c>
      <c r="I289" s="287">
        <v>4.53</v>
      </c>
      <c r="J289" s="268">
        <f t="shared" si="89"/>
        <v>5.75</v>
      </c>
      <c r="K289" s="292">
        <v>2.82</v>
      </c>
      <c r="L289" s="268">
        <f t="shared" si="90"/>
        <v>3.58</v>
      </c>
      <c r="M289" s="268">
        <f t="shared" si="91"/>
        <v>9.33</v>
      </c>
      <c r="N289" s="268">
        <f t="shared" si="92"/>
        <v>195.5</v>
      </c>
      <c r="O289" s="268">
        <f t="shared" si="93"/>
        <v>121.72</v>
      </c>
      <c r="P289" s="268">
        <f t="shared" si="94"/>
        <v>317.22000000000003</v>
      </c>
      <c r="Q289" s="269">
        <f t="shared" si="95"/>
        <v>1E-4</v>
      </c>
      <c r="R289" s="44"/>
      <c r="S289" s="49">
        <f t="shared" si="97"/>
        <v>249.9</v>
      </c>
      <c r="T289" s="143"/>
      <c r="U289" s="143"/>
      <c r="V289" s="143"/>
      <c r="W289" s="143"/>
      <c r="X289" s="143"/>
      <c r="Y289" s="143"/>
      <c r="Z289" s="143"/>
      <c r="AA289" s="143"/>
      <c r="AB289" s="143"/>
      <c r="AC289" s="143"/>
      <c r="AD289" s="143"/>
      <c r="AE289" s="143"/>
      <c r="AF289" s="143"/>
      <c r="AG289" s="143"/>
      <c r="AH289" s="143"/>
      <c r="AI289" s="143"/>
      <c r="AJ289" s="143"/>
      <c r="AK289" s="44"/>
      <c r="AL289" s="44"/>
    </row>
    <row r="290" spans="1:38" ht="27.6" x14ac:dyDescent="0.25">
      <c r="A290" s="142"/>
      <c r="B290" s="265" t="s">
        <v>1272</v>
      </c>
      <c r="C290" s="266" t="s">
        <v>397</v>
      </c>
      <c r="D290" s="265" t="s">
        <v>40</v>
      </c>
      <c r="E290" s="265" t="s">
        <v>398</v>
      </c>
      <c r="F290" s="267" t="s">
        <v>55</v>
      </c>
      <c r="G290" s="277">
        <v>102</v>
      </c>
      <c r="H290" s="268">
        <f>I290+K290</f>
        <v>20.190000000000001</v>
      </c>
      <c r="I290" s="287">
        <v>12.65</v>
      </c>
      <c r="J290" s="268">
        <f t="shared" si="89"/>
        <v>16.05</v>
      </c>
      <c r="K290" s="292">
        <v>7.54</v>
      </c>
      <c r="L290" s="268">
        <f t="shared" si="90"/>
        <v>9.57</v>
      </c>
      <c r="M290" s="268">
        <f t="shared" si="91"/>
        <v>25.62</v>
      </c>
      <c r="N290" s="268">
        <f t="shared" si="92"/>
        <v>1637.1</v>
      </c>
      <c r="O290" s="268">
        <f t="shared" si="93"/>
        <v>976.14</v>
      </c>
      <c r="P290" s="268">
        <f t="shared" si="94"/>
        <v>2613.2399999999998</v>
      </c>
      <c r="Q290" s="269">
        <f t="shared" si="95"/>
        <v>1E-3</v>
      </c>
      <c r="R290" s="44"/>
      <c r="S290" s="49">
        <f t="shared" si="97"/>
        <v>2059.38</v>
      </c>
      <c r="T290" s="143"/>
      <c r="U290" s="143"/>
      <c r="V290" s="143"/>
      <c r="W290" s="143"/>
      <c r="X290" s="143"/>
      <c r="Y290" s="143"/>
      <c r="Z290" s="143"/>
      <c r="AA290" s="143"/>
      <c r="AB290" s="143"/>
      <c r="AC290" s="143"/>
      <c r="AD290" s="143"/>
      <c r="AE290" s="143"/>
      <c r="AF290" s="143"/>
      <c r="AG290" s="143"/>
      <c r="AH290" s="143"/>
      <c r="AI290" s="143"/>
      <c r="AJ290" s="143"/>
      <c r="AK290" s="44"/>
      <c r="AL290" s="44"/>
    </row>
    <row r="291" spans="1:38" x14ac:dyDescent="0.25">
      <c r="A291" s="142"/>
      <c r="B291" s="265" t="s">
        <v>1273</v>
      </c>
      <c r="C291" s="266" t="s">
        <v>1490</v>
      </c>
      <c r="D291" s="265" t="s">
        <v>146</v>
      </c>
      <c r="E291" s="265" t="s">
        <v>1491</v>
      </c>
      <c r="F291" s="267" t="s">
        <v>168</v>
      </c>
      <c r="G291" s="277">
        <v>1</v>
      </c>
      <c r="H291" s="268">
        <v>423.01</v>
      </c>
      <c r="I291" s="287">
        <f>3.75+3.82+18.75+13.38</f>
        <v>39.700000000000003</v>
      </c>
      <c r="J291" s="268">
        <f t="shared" si="89"/>
        <v>50.37</v>
      </c>
      <c r="K291" s="292">
        <f>H291-I291</f>
        <v>383.31</v>
      </c>
      <c r="L291" s="268">
        <f t="shared" si="90"/>
        <v>486.31</v>
      </c>
      <c r="M291" s="268">
        <f t="shared" si="91"/>
        <v>536.67999999999995</v>
      </c>
      <c r="N291" s="268">
        <f t="shared" si="92"/>
        <v>50.37</v>
      </c>
      <c r="O291" s="268">
        <f t="shared" si="93"/>
        <v>486.31</v>
      </c>
      <c r="P291" s="268">
        <f t="shared" si="94"/>
        <v>536.67999999999995</v>
      </c>
      <c r="Q291" s="269">
        <f t="shared" si="95"/>
        <v>2.0000000000000001E-4</v>
      </c>
      <c r="R291" s="44"/>
      <c r="S291" s="49">
        <f t="shared" si="97"/>
        <v>423.01</v>
      </c>
      <c r="T291" s="143"/>
      <c r="U291" s="143"/>
      <c r="V291" s="143"/>
      <c r="W291" s="143"/>
      <c r="X291" s="143"/>
      <c r="Y291" s="143"/>
      <c r="Z291" s="143"/>
      <c r="AA291" s="143"/>
      <c r="AB291" s="143"/>
      <c r="AC291" s="143"/>
      <c r="AD291" s="143"/>
      <c r="AE291" s="143"/>
      <c r="AF291" s="143"/>
      <c r="AG291" s="143"/>
      <c r="AH291" s="143"/>
      <c r="AI291" s="143"/>
      <c r="AJ291" s="143"/>
      <c r="AK291" s="44"/>
      <c r="AL291" s="44"/>
    </row>
    <row r="292" spans="1:38" x14ac:dyDescent="0.25">
      <c r="A292" s="22"/>
      <c r="B292" s="261" t="s">
        <v>1274</v>
      </c>
      <c r="C292" s="261"/>
      <c r="D292" s="261"/>
      <c r="E292" s="261" t="s">
        <v>664</v>
      </c>
      <c r="F292" s="261"/>
      <c r="G292" s="276"/>
      <c r="H292" s="262"/>
      <c r="I292" s="286"/>
      <c r="J292" s="261"/>
      <c r="K292" s="291"/>
      <c r="L292" s="261"/>
      <c r="M292" s="261"/>
      <c r="N292" s="261"/>
      <c r="O292" s="261"/>
      <c r="P292" s="263"/>
      <c r="Q292" s="263"/>
      <c r="R292" s="44"/>
      <c r="S292" s="49">
        <f t="shared" si="97"/>
        <v>0</v>
      </c>
      <c r="T292" s="143"/>
      <c r="U292" s="143"/>
      <c r="V292" s="143"/>
      <c r="W292" s="143"/>
      <c r="X292" s="143"/>
      <c r="Y292" s="143"/>
      <c r="Z292" s="143"/>
      <c r="AA292" s="143"/>
      <c r="AB292" s="143"/>
      <c r="AC292" s="143"/>
      <c r="AD292" s="143"/>
      <c r="AE292" s="143"/>
      <c r="AF292" s="143"/>
      <c r="AG292" s="143"/>
      <c r="AH292" s="143"/>
      <c r="AI292" s="143"/>
      <c r="AJ292" s="143"/>
      <c r="AK292" s="44"/>
      <c r="AL292" s="44"/>
    </row>
    <row r="293" spans="1:38" ht="27.6" x14ac:dyDescent="0.25">
      <c r="A293" s="22"/>
      <c r="B293" s="265" t="s">
        <v>1275</v>
      </c>
      <c r="C293" s="266" t="s">
        <v>856</v>
      </c>
      <c r="D293" s="265" t="s">
        <v>146</v>
      </c>
      <c r="E293" s="265" t="s">
        <v>1107</v>
      </c>
      <c r="F293" s="267" t="s">
        <v>168</v>
      </c>
      <c r="G293" s="277">
        <v>4</v>
      </c>
      <c r="H293" s="268">
        <v>543.91</v>
      </c>
      <c r="I293" s="287">
        <f>4.56+16.61+1.12+58.48+0.52+70.11</f>
        <v>151.4</v>
      </c>
      <c r="J293" s="268">
        <f t="shared" ref="J293:J310" si="99">I293*(1+$M$9)</f>
        <v>192.08</v>
      </c>
      <c r="K293" s="292">
        <f>H293-I293</f>
        <v>392.51</v>
      </c>
      <c r="L293" s="268">
        <f t="shared" ref="L293:L310" si="100">K293*(1+$M$9)</f>
        <v>497.98</v>
      </c>
      <c r="M293" s="268">
        <f t="shared" ref="M293:M310" si="101">L293+J293</f>
        <v>690.06</v>
      </c>
      <c r="N293" s="268">
        <f t="shared" ref="N293:N310" si="102">J293*G293</f>
        <v>768.32</v>
      </c>
      <c r="O293" s="268">
        <f t="shared" ref="O293:O310" si="103">L293*G293</f>
        <v>1991.92</v>
      </c>
      <c r="P293" s="268">
        <f t="shared" ref="P293:P310" si="104">O293+N293</f>
        <v>2760.24</v>
      </c>
      <c r="Q293" s="269">
        <f t="shared" ref="Q293:Q310" si="105">P293/$O$485</f>
        <v>1.1000000000000001E-3</v>
      </c>
      <c r="R293" s="44"/>
      <c r="S293" s="49">
        <f t="shared" si="97"/>
        <v>2175.64</v>
      </c>
      <c r="T293" s="143"/>
      <c r="U293" s="143"/>
      <c r="V293" s="143"/>
      <c r="W293" s="143"/>
      <c r="X293" s="143"/>
      <c r="Y293" s="143"/>
      <c r="Z293" s="143"/>
      <c r="AA293" s="143"/>
      <c r="AB293" s="143"/>
      <c r="AC293" s="143"/>
      <c r="AD293" s="143"/>
      <c r="AE293" s="143"/>
      <c r="AF293" s="143"/>
      <c r="AG293" s="143"/>
      <c r="AH293" s="143"/>
      <c r="AI293" s="143"/>
      <c r="AJ293" s="143"/>
      <c r="AK293" s="44"/>
      <c r="AL293" s="44"/>
    </row>
    <row r="294" spans="1:38" ht="27.6" x14ac:dyDescent="0.25">
      <c r="A294" s="22"/>
      <c r="B294" s="265" t="s">
        <v>1276</v>
      </c>
      <c r="C294" s="266" t="s">
        <v>1492</v>
      </c>
      <c r="D294" s="265" t="s">
        <v>40</v>
      </c>
      <c r="E294" s="265" t="s">
        <v>1493</v>
      </c>
      <c r="F294" s="267" t="s">
        <v>44</v>
      </c>
      <c r="G294" s="277">
        <v>1</v>
      </c>
      <c r="H294" s="268">
        <f>I294+K294</f>
        <v>2186.5700000000002</v>
      </c>
      <c r="I294" s="287">
        <v>568.54999999999995</v>
      </c>
      <c r="J294" s="268">
        <f t="shared" si="99"/>
        <v>721.32</v>
      </c>
      <c r="K294" s="292">
        <f>10.17+1606.34+1.51</f>
        <v>1618.02</v>
      </c>
      <c r="L294" s="268">
        <f t="shared" si="100"/>
        <v>2052.7800000000002</v>
      </c>
      <c r="M294" s="268">
        <f t="shared" si="101"/>
        <v>2774.1</v>
      </c>
      <c r="N294" s="268">
        <f t="shared" si="102"/>
        <v>721.32</v>
      </c>
      <c r="O294" s="268">
        <f t="shared" si="103"/>
        <v>2052.7800000000002</v>
      </c>
      <c r="P294" s="268">
        <f t="shared" si="104"/>
        <v>2774.1</v>
      </c>
      <c r="Q294" s="269">
        <f t="shared" si="105"/>
        <v>1.1000000000000001E-3</v>
      </c>
      <c r="R294" s="44"/>
      <c r="S294" s="49">
        <f t="shared" si="97"/>
        <v>2186.5700000000002</v>
      </c>
      <c r="T294" s="143"/>
      <c r="U294" s="143"/>
      <c r="V294" s="143"/>
      <c r="W294" s="143"/>
      <c r="X294" s="143"/>
      <c r="Y294" s="143"/>
      <c r="Z294" s="143"/>
      <c r="AA294" s="143"/>
      <c r="AB294" s="143"/>
      <c r="AC294" s="143"/>
      <c r="AD294" s="143"/>
      <c r="AE294" s="143"/>
      <c r="AF294" s="143"/>
      <c r="AG294" s="143"/>
      <c r="AH294" s="143"/>
      <c r="AI294" s="143"/>
      <c r="AJ294" s="143"/>
      <c r="AK294" s="44"/>
      <c r="AL294" s="44"/>
    </row>
    <row r="295" spans="1:38" x14ac:dyDescent="0.25">
      <c r="A295" s="22"/>
      <c r="B295" s="265" t="s">
        <v>1277</v>
      </c>
      <c r="C295" s="266" t="s">
        <v>1110</v>
      </c>
      <c r="D295" s="265" t="s">
        <v>51</v>
      </c>
      <c r="E295" s="265" t="s">
        <v>1111</v>
      </c>
      <c r="F295" s="267" t="s">
        <v>44</v>
      </c>
      <c r="G295" s="277">
        <v>8</v>
      </c>
      <c r="H295" s="268">
        <f>I295+K295</f>
        <v>0</v>
      </c>
      <c r="I295" s="287"/>
      <c r="J295" s="268">
        <f t="shared" si="99"/>
        <v>0</v>
      </c>
      <c r="K295" s="292"/>
      <c r="L295" s="268">
        <f t="shared" si="100"/>
        <v>0</v>
      </c>
      <c r="M295" s="268">
        <f t="shared" si="101"/>
        <v>0</v>
      </c>
      <c r="N295" s="268">
        <f t="shared" si="102"/>
        <v>0</v>
      </c>
      <c r="O295" s="268">
        <f t="shared" si="103"/>
        <v>0</v>
      </c>
      <c r="P295" s="268">
        <f t="shared" si="104"/>
        <v>0</v>
      </c>
      <c r="Q295" s="269">
        <f t="shared" si="105"/>
        <v>0</v>
      </c>
      <c r="R295" s="44"/>
      <c r="S295" s="49">
        <f t="shared" si="97"/>
        <v>0</v>
      </c>
      <c r="T295" s="143"/>
      <c r="U295" s="143"/>
      <c r="V295" s="143"/>
      <c r="W295" s="143"/>
      <c r="X295" s="143"/>
      <c r="Y295" s="143"/>
      <c r="Z295" s="143"/>
      <c r="AA295" s="143"/>
      <c r="AB295" s="143"/>
      <c r="AC295" s="143"/>
      <c r="AD295" s="143"/>
      <c r="AE295" s="143"/>
      <c r="AF295" s="143"/>
      <c r="AG295" s="143"/>
      <c r="AH295" s="143"/>
      <c r="AI295" s="143"/>
      <c r="AJ295" s="143"/>
      <c r="AK295" s="44"/>
      <c r="AL295" s="44"/>
    </row>
    <row r="296" spans="1:38" ht="27.6" x14ac:dyDescent="0.25">
      <c r="A296" s="22"/>
      <c r="B296" s="265" t="s">
        <v>1278</v>
      </c>
      <c r="C296" s="266" t="s">
        <v>645</v>
      </c>
      <c r="D296" s="265" t="s">
        <v>40</v>
      </c>
      <c r="E296" s="265" t="s">
        <v>646</v>
      </c>
      <c r="F296" s="267" t="s">
        <v>44</v>
      </c>
      <c r="G296" s="277">
        <v>4</v>
      </c>
      <c r="H296" s="268">
        <f>I296+K296</f>
        <v>61.96</v>
      </c>
      <c r="I296" s="287">
        <v>4.3499999999999996</v>
      </c>
      <c r="J296" s="268">
        <f t="shared" si="99"/>
        <v>5.52</v>
      </c>
      <c r="K296" s="292">
        <v>57.61</v>
      </c>
      <c r="L296" s="268">
        <f t="shared" si="100"/>
        <v>73.09</v>
      </c>
      <c r="M296" s="268">
        <f t="shared" si="101"/>
        <v>78.61</v>
      </c>
      <c r="N296" s="268">
        <f t="shared" si="102"/>
        <v>22.08</v>
      </c>
      <c r="O296" s="268">
        <f t="shared" si="103"/>
        <v>292.36</v>
      </c>
      <c r="P296" s="268">
        <f t="shared" si="104"/>
        <v>314.44</v>
      </c>
      <c r="Q296" s="269">
        <f t="shared" si="105"/>
        <v>1E-4</v>
      </c>
      <c r="R296" s="44"/>
      <c r="S296" s="49">
        <f t="shared" si="97"/>
        <v>247.84</v>
      </c>
      <c r="T296" s="143"/>
      <c r="U296" s="143"/>
      <c r="V296" s="143"/>
      <c r="W296" s="143"/>
      <c r="X296" s="143"/>
      <c r="Y296" s="143"/>
      <c r="Z296" s="143"/>
      <c r="AA296" s="143"/>
      <c r="AB296" s="143"/>
      <c r="AC296" s="143"/>
      <c r="AD296" s="143"/>
      <c r="AE296" s="143"/>
      <c r="AF296" s="143"/>
      <c r="AG296" s="143"/>
      <c r="AH296" s="143"/>
      <c r="AI296" s="143"/>
      <c r="AJ296" s="143"/>
      <c r="AK296" s="44"/>
      <c r="AL296" s="44"/>
    </row>
    <row r="297" spans="1:38" ht="27.6" x14ac:dyDescent="0.25">
      <c r="A297" s="22"/>
      <c r="B297" s="265" t="s">
        <v>1279</v>
      </c>
      <c r="C297" s="266">
        <v>89811</v>
      </c>
      <c r="D297" s="265" t="s">
        <v>40</v>
      </c>
      <c r="E297" s="265" t="s">
        <v>612</v>
      </c>
      <c r="F297" s="267" t="s">
        <v>44</v>
      </c>
      <c r="G297" s="277">
        <v>13</v>
      </c>
      <c r="H297" s="268">
        <f>I297+K297</f>
        <v>41.09</v>
      </c>
      <c r="I297" s="287">
        <v>7.19</v>
      </c>
      <c r="J297" s="268">
        <f t="shared" si="99"/>
        <v>9.1199999999999992</v>
      </c>
      <c r="K297" s="292">
        <v>33.9</v>
      </c>
      <c r="L297" s="268">
        <f t="shared" si="100"/>
        <v>43.01</v>
      </c>
      <c r="M297" s="268">
        <f t="shared" si="101"/>
        <v>52.13</v>
      </c>
      <c r="N297" s="268">
        <f t="shared" si="102"/>
        <v>118.56</v>
      </c>
      <c r="O297" s="268">
        <f t="shared" si="103"/>
        <v>559.13</v>
      </c>
      <c r="P297" s="268">
        <f t="shared" si="104"/>
        <v>677.69</v>
      </c>
      <c r="Q297" s="269">
        <f t="shared" si="105"/>
        <v>2.9999999999999997E-4</v>
      </c>
      <c r="R297" s="44"/>
      <c r="S297" s="49">
        <f t="shared" si="97"/>
        <v>534.16999999999996</v>
      </c>
      <c r="T297" s="143"/>
      <c r="U297" s="143"/>
      <c r="V297" s="143"/>
      <c r="W297" s="143"/>
      <c r="X297" s="143"/>
      <c r="Y297" s="143"/>
      <c r="Z297" s="143"/>
      <c r="AA297" s="143"/>
      <c r="AB297" s="143"/>
      <c r="AC297" s="143"/>
      <c r="AD297" s="143"/>
      <c r="AE297" s="143"/>
      <c r="AF297" s="143"/>
      <c r="AG297" s="143"/>
      <c r="AH297" s="143"/>
      <c r="AI297" s="143"/>
      <c r="AJ297" s="143"/>
      <c r="AK297" s="44"/>
      <c r="AL297" s="44"/>
    </row>
    <row r="298" spans="1:38" ht="27.6" x14ac:dyDescent="0.25">
      <c r="A298" s="22"/>
      <c r="B298" s="265" t="s">
        <v>1280</v>
      </c>
      <c r="C298" s="266" t="s">
        <v>656</v>
      </c>
      <c r="D298" s="265" t="s">
        <v>199</v>
      </c>
      <c r="E298" s="265" t="s">
        <v>765</v>
      </c>
      <c r="F298" s="267" t="s">
        <v>240</v>
      </c>
      <c r="G298" s="277">
        <v>21.7</v>
      </c>
      <c r="H298" s="268">
        <v>100.91</v>
      </c>
      <c r="I298" s="287">
        <f>20.43+29.79</f>
        <v>50.22</v>
      </c>
      <c r="J298" s="268">
        <f t="shared" si="99"/>
        <v>63.71</v>
      </c>
      <c r="K298" s="292">
        <f>H298-I298</f>
        <v>50.69</v>
      </c>
      <c r="L298" s="268">
        <f t="shared" si="100"/>
        <v>64.31</v>
      </c>
      <c r="M298" s="268">
        <f t="shared" si="101"/>
        <v>128.02000000000001</v>
      </c>
      <c r="N298" s="268">
        <f t="shared" si="102"/>
        <v>1382.51</v>
      </c>
      <c r="O298" s="268">
        <f t="shared" si="103"/>
        <v>1395.53</v>
      </c>
      <c r="P298" s="268">
        <f t="shared" si="104"/>
        <v>2778.04</v>
      </c>
      <c r="Q298" s="269">
        <f t="shared" si="105"/>
        <v>1.1000000000000001E-3</v>
      </c>
      <c r="R298" s="44"/>
      <c r="S298" s="49">
        <f t="shared" si="97"/>
        <v>2189.75</v>
      </c>
      <c r="T298" s="143"/>
      <c r="U298" s="143"/>
      <c r="V298" s="143"/>
      <c r="W298" s="143"/>
      <c r="X298" s="143"/>
      <c r="Y298" s="143"/>
      <c r="Z298" s="143"/>
      <c r="AA298" s="143"/>
      <c r="AB298" s="143"/>
      <c r="AC298" s="143"/>
      <c r="AD298" s="143"/>
      <c r="AE298" s="143"/>
      <c r="AF298" s="143"/>
      <c r="AG298" s="143"/>
      <c r="AH298" s="143"/>
      <c r="AI298" s="143"/>
      <c r="AJ298" s="143"/>
      <c r="AK298" s="44"/>
      <c r="AL298" s="44"/>
    </row>
    <row r="299" spans="1:38" x14ac:dyDescent="0.25">
      <c r="A299" s="22"/>
      <c r="B299" s="265" t="s">
        <v>1281</v>
      </c>
      <c r="C299" s="266" t="s">
        <v>613</v>
      </c>
      <c r="D299" s="265" t="s">
        <v>199</v>
      </c>
      <c r="E299" s="265" t="s">
        <v>763</v>
      </c>
      <c r="F299" s="267" t="s">
        <v>240</v>
      </c>
      <c r="G299" s="277">
        <v>64.7</v>
      </c>
      <c r="H299" s="268">
        <v>44.79</v>
      </c>
      <c r="I299" s="287">
        <f>9.29+6.77</f>
        <v>16.059999999999999</v>
      </c>
      <c r="J299" s="268">
        <f t="shared" si="99"/>
        <v>20.38</v>
      </c>
      <c r="K299" s="292">
        <f>H299-I299</f>
        <v>28.73</v>
      </c>
      <c r="L299" s="268">
        <f t="shared" si="100"/>
        <v>36.450000000000003</v>
      </c>
      <c r="M299" s="268">
        <f t="shared" si="101"/>
        <v>56.83</v>
      </c>
      <c r="N299" s="268">
        <f t="shared" si="102"/>
        <v>1318.59</v>
      </c>
      <c r="O299" s="268">
        <f t="shared" si="103"/>
        <v>2358.3200000000002</v>
      </c>
      <c r="P299" s="268">
        <f t="shared" si="104"/>
        <v>3676.91</v>
      </c>
      <c r="Q299" s="269">
        <f t="shared" si="105"/>
        <v>1.5E-3</v>
      </c>
      <c r="R299" s="44"/>
      <c r="S299" s="49">
        <f t="shared" si="97"/>
        <v>2897.91</v>
      </c>
      <c r="T299" s="143"/>
      <c r="U299" s="143"/>
      <c r="V299" s="143"/>
      <c r="W299" s="143"/>
      <c r="X299" s="143"/>
      <c r="Y299" s="143"/>
      <c r="Z299" s="143"/>
      <c r="AA299" s="143"/>
      <c r="AB299" s="143"/>
      <c r="AC299" s="143"/>
      <c r="AD299" s="143"/>
      <c r="AE299" s="143"/>
      <c r="AF299" s="143"/>
      <c r="AG299" s="143"/>
      <c r="AH299" s="143"/>
      <c r="AI299" s="143"/>
      <c r="AJ299" s="143"/>
      <c r="AK299" s="44"/>
      <c r="AL299" s="44"/>
    </row>
    <row r="300" spans="1:38" x14ac:dyDescent="0.25">
      <c r="A300" s="22"/>
      <c r="B300" s="265" t="s">
        <v>1282</v>
      </c>
      <c r="C300" s="266" t="s">
        <v>854</v>
      </c>
      <c r="D300" s="265" t="s">
        <v>199</v>
      </c>
      <c r="E300" s="265" t="s">
        <v>855</v>
      </c>
      <c r="F300" s="267" t="s">
        <v>240</v>
      </c>
      <c r="G300" s="277">
        <v>25</v>
      </c>
      <c r="H300" s="268">
        <v>62.91</v>
      </c>
      <c r="I300" s="287">
        <f>9.29+6.77</f>
        <v>16.059999999999999</v>
      </c>
      <c r="J300" s="268">
        <f t="shared" si="99"/>
        <v>20.38</v>
      </c>
      <c r="K300" s="292">
        <f>H300-I300</f>
        <v>46.85</v>
      </c>
      <c r="L300" s="268">
        <f t="shared" si="100"/>
        <v>59.44</v>
      </c>
      <c r="M300" s="268">
        <f t="shared" si="101"/>
        <v>79.819999999999993</v>
      </c>
      <c r="N300" s="268">
        <f t="shared" si="102"/>
        <v>509.5</v>
      </c>
      <c r="O300" s="268">
        <f t="shared" si="103"/>
        <v>1486</v>
      </c>
      <c r="P300" s="268">
        <f t="shared" si="104"/>
        <v>1995.5</v>
      </c>
      <c r="Q300" s="269">
        <f t="shared" si="105"/>
        <v>8.0000000000000004E-4</v>
      </c>
      <c r="R300" s="44"/>
      <c r="S300" s="49">
        <f t="shared" si="97"/>
        <v>1572.75</v>
      </c>
      <c r="T300" s="143"/>
      <c r="U300" s="143"/>
      <c r="V300" s="143"/>
      <c r="W300" s="143"/>
      <c r="X300" s="143"/>
      <c r="Y300" s="143"/>
      <c r="Z300" s="143"/>
      <c r="AA300" s="143"/>
      <c r="AB300" s="143"/>
      <c r="AC300" s="143"/>
      <c r="AD300" s="143"/>
      <c r="AE300" s="143"/>
      <c r="AF300" s="143"/>
      <c r="AG300" s="143"/>
      <c r="AH300" s="143"/>
      <c r="AI300" s="143"/>
      <c r="AJ300" s="143"/>
      <c r="AK300" s="44"/>
      <c r="AL300" s="44"/>
    </row>
    <row r="301" spans="1:38" x14ac:dyDescent="0.25">
      <c r="A301" s="55"/>
      <c r="B301" s="265" t="s">
        <v>1283</v>
      </c>
      <c r="C301" s="266" t="s">
        <v>1494</v>
      </c>
      <c r="D301" s="265" t="s">
        <v>100</v>
      </c>
      <c r="E301" s="265" t="s">
        <v>1495</v>
      </c>
      <c r="F301" s="267" t="s">
        <v>44</v>
      </c>
      <c r="G301" s="277">
        <v>1</v>
      </c>
      <c r="H301" s="268">
        <f>CPUS!L133</f>
        <v>347.34</v>
      </c>
      <c r="I301" s="287">
        <f>CPUS!H139</f>
        <v>29.25</v>
      </c>
      <c r="J301" s="268">
        <f t="shared" si="99"/>
        <v>37.11</v>
      </c>
      <c r="K301" s="292">
        <f>H301-I301</f>
        <v>318.08999999999997</v>
      </c>
      <c r="L301" s="268">
        <f t="shared" si="100"/>
        <v>403.56</v>
      </c>
      <c r="M301" s="268">
        <f t="shared" si="101"/>
        <v>440.67</v>
      </c>
      <c r="N301" s="268">
        <f t="shared" si="102"/>
        <v>37.11</v>
      </c>
      <c r="O301" s="268">
        <f t="shared" si="103"/>
        <v>403.56</v>
      </c>
      <c r="P301" s="268">
        <f t="shared" si="104"/>
        <v>440.67</v>
      </c>
      <c r="Q301" s="269">
        <f t="shared" si="105"/>
        <v>2.0000000000000001E-4</v>
      </c>
      <c r="R301" s="44"/>
      <c r="S301" s="49">
        <f t="shared" si="97"/>
        <v>347.34</v>
      </c>
      <c r="T301" s="44"/>
      <c r="U301" s="44"/>
      <c r="V301" s="44"/>
      <c r="W301" s="44"/>
      <c r="X301" s="44"/>
      <c r="Y301" s="44"/>
      <c r="Z301" s="44"/>
      <c r="AA301" s="44"/>
      <c r="AB301" s="44"/>
      <c r="AC301" s="44"/>
      <c r="AD301" s="44"/>
      <c r="AE301" s="44"/>
      <c r="AF301" s="44"/>
      <c r="AG301" s="44"/>
      <c r="AH301" s="44"/>
      <c r="AI301" s="44"/>
      <c r="AJ301" s="44"/>
      <c r="AK301" s="44"/>
      <c r="AL301" s="44"/>
    </row>
    <row r="302" spans="1:38" ht="27.6" x14ac:dyDescent="0.25">
      <c r="A302" s="55"/>
      <c r="B302" s="265" t="s">
        <v>1284</v>
      </c>
      <c r="C302" s="266" t="s">
        <v>665</v>
      </c>
      <c r="D302" s="265" t="s">
        <v>40</v>
      </c>
      <c r="E302" s="265" t="s">
        <v>666</v>
      </c>
      <c r="F302" s="267" t="s">
        <v>55</v>
      </c>
      <c r="G302" s="277">
        <v>11.5</v>
      </c>
      <c r="H302" s="268">
        <f t="shared" ref="H302:H308" si="106">I302+K302</f>
        <v>132.78</v>
      </c>
      <c r="I302" s="287">
        <v>2.75</v>
      </c>
      <c r="J302" s="268">
        <f t="shared" si="99"/>
        <v>3.49</v>
      </c>
      <c r="K302" s="292">
        <v>130.03</v>
      </c>
      <c r="L302" s="268">
        <f t="shared" si="100"/>
        <v>164.97</v>
      </c>
      <c r="M302" s="268">
        <f t="shared" si="101"/>
        <v>168.46</v>
      </c>
      <c r="N302" s="268">
        <f t="shared" si="102"/>
        <v>40.14</v>
      </c>
      <c r="O302" s="268">
        <f t="shared" si="103"/>
        <v>1897.16</v>
      </c>
      <c r="P302" s="268">
        <f t="shared" si="104"/>
        <v>1937.3</v>
      </c>
      <c r="Q302" s="269">
        <f t="shared" si="105"/>
        <v>8.0000000000000004E-4</v>
      </c>
      <c r="R302" s="44"/>
      <c r="S302" s="49">
        <f t="shared" si="97"/>
        <v>1526.97</v>
      </c>
      <c r="T302" s="44"/>
      <c r="U302" s="44"/>
      <c r="V302" s="44"/>
      <c r="W302" s="44"/>
      <c r="X302" s="44"/>
      <c r="Y302" s="44"/>
      <c r="Z302" s="44"/>
      <c r="AA302" s="44"/>
      <c r="AB302" s="44"/>
      <c r="AC302" s="44"/>
      <c r="AD302" s="44"/>
      <c r="AE302" s="44"/>
      <c r="AF302" s="44"/>
      <c r="AG302" s="44"/>
      <c r="AH302" s="44"/>
      <c r="AI302" s="44"/>
      <c r="AJ302" s="44"/>
      <c r="AK302" s="44"/>
      <c r="AL302" s="44"/>
    </row>
    <row r="303" spans="1:38" ht="27.6" x14ac:dyDescent="0.25">
      <c r="A303" s="55"/>
      <c r="B303" s="265" t="s">
        <v>1285</v>
      </c>
      <c r="C303" s="266" t="s">
        <v>1496</v>
      </c>
      <c r="D303" s="265" t="s">
        <v>40</v>
      </c>
      <c r="E303" s="265" t="s">
        <v>1497</v>
      </c>
      <c r="F303" s="267" t="s">
        <v>44</v>
      </c>
      <c r="G303" s="277">
        <v>2</v>
      </c>
      <c r="H303" s="268">
        <f t="shared" si="106"/>
        <v>8.76</v>
      </c>
      <c r="I303" s="287">
        <v>5.0599999999999996</v>
      </c>
      <c r="J303" s="268">
        <f t="shared" si="99"/>
        <v>6.42</v>
      </c>
      <c r="K303" s="292">
        <v>3.7</v>
      </c>
      <c r="L303" s="268">
        <f t="shared" si="100"/>
        <v>4.6900000000000004</v>
      </c>
      <c r="M303" s="268">
        <f t="shared" si="101"/>
        <v>11.11</v>
      </c>
      <c r="N303" s="268">
        <f t="shared" si="102"/>
        <v>12.84</v>
      </c>
      <c r="O303" s="268">
        <f t="shared" si="103"/>
        <v>9.3800000000000008</v>
      </c>
      <c r="P303" s="268">
        <f t="shared" si="104"/>
        <v>22.22</v>
      </c>
      <c r="Q303" s="269">
        <f t="shared" si="105"/>
        <v>0</v>
      </c>
      <c r="R303" s="44"/>
      <c r="S303" s="49">
        <f t="shared" si="97"/>
        <v>17.52</v>
      </c>
      <c r="T303" s="44"/>
      <c r="U303" s="44"/>
      <c r="V303" s="44"/>
      <c r="W303" s="44"/>
      <c r="X303" s="44"/>
      <c r="Y303" s="44"/>
      <c r="Z303" s="44"/>
      <c r="AA303" s="44"/>
      <c r="AB303" s="44"/>
      <c r="AC303" s="44"/>
      <c r="AD303" s="44"/>
      <c r="AE303" s="44"/>
      <c r="AF303" s="44"/>
      <c r="AG303" s="44"/>
      <c r="AH303" s="44"/>
      <c r="AI303" s="44"/>
      <c r="AJ303" s="44"/>
      <c r="AK303" s="44"/>
      <c r="AL303" s="44"/>
    </row>
    <row r="304" spans="1:38" ht="27.6" x14ac:dyDescent="0.25">
      <c r="A304" s="55"/>
      <c r="B304" s="265" t="s">
        <v>1286</v>
      </c>
      <c r="C304" s="266" t="s">
        <v>175</v>
      </c>
      <c r="D304" s="265" t="s">
        <v>40</v>
      </c>
      <c r="E304" s="265" t="s">
        <v>176</v>
      </c>
      <c r="F304" s="267" t="s">
        <v>44</v>
      </c>
      <c r="G304" s="277">
        <v>11</v>
      </c>
      <c r="H304" s="268">
        <f t="shared" si="106"/>
        <v>7.35</v>
      </c>
      <c r="I304" s="287">
        <v>4.53</v>
      </c>
      <c r="J304" s="268">
        <f t="shared" si="99"/>
        <v>5.75</v>
      </c>
      <c r="K304" s="292">
        <v>2.82</v>
      </c>
      <c r="L304" s="268">
        <f t="shared" si="100"/>
        <v>3.58</v>
      </c>
      <c r="M304" s="268">
        <f t="shared" si="101"/>
        <v>9.33</v>
      </c>
      <c r="N304" s="268">
        <f t="shared" si="102"/>
        <v>63.25</v>
      </c>
      <c r="O304" s="268">
        <f t="shared" si="103"/>
        <v>39.380000000000003</v>
      </c>
      <c r="P304" s="268">
        <f t="shared" si="104"/>
        <v>102.63</v>
      </c>
      <c r="Q304" s="269">
        <f t="shared" si="105"/>
        <v>0</v>
      </c>
      <c r="R304" s="44"/>
      <c r="S304" s="49">
        <f t="shared" si="97"/>
        <v>80.849999999999994</v>
      </c>
      <c r="T304" s="44"/>
      <c r="U304" s="44"/>
      <c r="V304" s="44"/>
      <c r="W304" s="44"/>
      <c r="X304" s="44"/>
      <c r="Y304" s="44"/>
      <c r="Z304" s="44"/>
      <c r="AA304" s="44"/>
      <c r="AB304" s="44"/>
      <c r="AC304" s="44"/>
      <c r="AD304" s="44"/>
      <c r="AE304" s="44"/>
      <c r="AF304" s="44"/>
      <c r="AG304" s="44"/>
      <c r="AH304" s="44"/>
      <c r="AI304" s="44"/>
      <c r="AJ304" s="44"/>
      <c r="AK304" s="44"/>
      <c r="AL304" s="44"/>
    </row>
    <row r="305" spans="1:38" ht="27.6" x14ac:dyDescent="0.25">
      <c r="A305" s="55"/>
      <c r="B305" s="265" t="s">
        <v>1287</v>
      </c>
      <c r="C305" s="266" t="s">
        <v>397</v>
      </c>
      <c r="D305" s="265" t="s">
        <v>40</v>
      </c>
      <c r="E305" s="265" t="s">
        <v>398</v>
      </c>
      <c r="F305" s="267" t="s">
        <v>55</v>
      </c>
      <c r="G305" s="277">
        <v>114.8</v>
      </c>
      <c r="H305" s="268">
        <f t="shared" si="106"/>
        <v>20.190000000000001</v>
      </c>
      <c r="I305" s="287">
        <v>12.65</v>
      </c>
      <c r="J305" s="268">
        <f t="shared" si="99"/>
        <v>16.05</v>
      </c>
      <c r="K305" s="292">
        <v>7.54</v>
      </c>
      <c r="L305" s="268">
        <f t="shared" si="100"/>
        <v>9.57</v>
      </c>
      <c r="M305" s="268">
        <f t="shared" si="101"/>
        <v>25.62</v>
      </c>
      <c r="N305" s="268">
        <f t="shared" si="102"/>
        <v>1842.54</v>
      </c>
      <c r="O305" s="268">
        <f t="shared" si="103"/>
        <v>1098.6400000000001</v>
      </c>
      <c r="P305" s="268">
        <f t="shared" si="104"/>
        <v>2941.18</v>
      </c>
      <c r="Q305" s="269">
        <f t="shared" si="105"/>
        <v>1.1999999999999999E-3</v>
      </c>
      <c r="R305" s="44"/>
      <c r="S305" s="49">
        <f t="shared" si="97"/>
        <v>2317.81</v>
      </c>
      <c r="T305" s="44"/>
      <c r="U305" s="44"/>
      <c r="V305" s="44"/>
      <c r="W305" s="44"/>
      <c r="X305" s="44"/>
      <c r="Y305" s="44"/>
      <c r="Z305" s="44"/>
      <c r="AA305" s="44"/>
      <c r="AB305" s="44"/>
      <c r="AC305" s="44"/>
      <c r="AD305" s="44"/>
      <c r="AE305" s="44"/>
      <c r="AF305" s="44"/>
      <c r="AG305" s="44"/>
      <c r="AH305" s="44"/>
      <c r="AI305" s="44"/>
      <c r="AJ305" s="44"/>
      <c r="AK305" s="44"/>
      <c r="AL305" s="44"/>
    </row>
    <row r="306" spans="1:38" ht="27.6" x14ac:dyDescent="0.25">
      <c r="A306" s="55"/>
      <c r="B306" s="265" t="s">
        <v>1288</v>
      </c>
      <c r="C306" s="266" t="s">
        <v>196</v>
      </c>
      <c r="D306" s="265" t="s">
        <v>40</v>
      </c>
      <c r="E306" s="265" t="s">
        <v>197</v>
      </c>
      <c r="F306" s="267" t="s">
        <v>44</v>
      </c>
      <c r="G306" s="277">
        <v>11</v>
      </c>
      <c r="H306" s="268">
        <f t="shared" si="106"/>
        <v>8.69</v>
      </c>
      <c r="I306" s="287">
        <v>4.91</v>
      </c>
      <c r="J306" s="268">
        <f t="shared" si="99"/>
        <v>6.23</v>
      </c>
      <c r="K306" s="292">
        <v>3.78</v>
      </c>
      <c r="L306" s="268">
        <f t="shared" si="100"/>
        <v>4.8</v>
      </c>
      <c r="M306" s="268">
        <f t="shared" si="101"/>
        <v>11.03</v>
      </c>
      <c r="N306" s="268">
        <f t="shared" si="102"/>
        <v>68.53</v>
      </c>
      <c r="O306" s="268">
        <f t="shared" si="103"/>
        <v>52.8</v>
      </c>
      <c r="P306" s="268">
        <f t="shared" si="104"/>
        <v>121.33</v>
      </c>
      <c r="Q306" s="269">
        <f t="shared" si="105"/>
        <v>0</v>
      </c>
      <c r="R306" s="44"/>
      <c r="S306" s="49">
        <f t="shared" si="97"/>
        <v>95.59</v>
      </c>
      <c r="T306" s="44"/>
      <c r="U306" s="44"/>
      <c r="V306" s="44"/>
      <c r="W306" s="44"/>
      <c r="X306" s="44"/>
      <c r="Y306" s="44"/>
      <c r="Z306" s="44"/>
      <c r="AA306" s="44"/>
      <c r="AB306" s="44"/>
      <c r="AC306" s="44"/>
      <c r="AD306" s="44"/>
      <c r="AE306" s="44"/>
      <c r="AF306" s="44"/>
      <c r="AG306" s="44"/>
      <c r="AH306" s="44"/>
      <c r="AI306" s="44"/>
      <c r="AJ306" s="44"/>
      <c r="AK306" s="44"/>
      <c r="AL306" s="44"/>
    </row>
    <row r="307" spans="1:38" ht="27.6" x14ac:dyDescent="0.25">
      <c r="A307" s="55"/>
      <c r="B307" s="265" t="s">
        <v>1289</v>
      </c>
      <c r="C307" s="266" t="s">
        <v>647</v>
      </c>
      <c r="D307" s="265" t="s">
        <v>40</v>
      </c>
      <c r="E307" s="265" t="s">
        <v>648</v>
      </c>
      <c r="F307" s="267" t="s">
        <v>44</v>
      </c>
      <c r="G307" s="277">
        <v>1</v>
      </c>
      <c r="H307" s="268">
        <f t="shared" si="106"/>
        <v>14.87</v>
      </c>
      <c r="I307" s="287">
        <v>4.5599999999999996</v>
      </c>
      <c r="J307" s="268">
        <f t="shared" si="99"/>
        <v>5.79</v>
      </c>
      <c r="K307" s="292">
        <v>10.31</v>
      </c>
      <c r="L307" s="268">
        <f t="shared" si="100"/>
        <v>13.08</v>
      </c>
      <c r="M307" s="268">
        <f t="shared" si="101"/>
        <v>18.87</v>
      </c>
      <c r="N307" s="268">
        <f t="shared" si="102"/>
        <v>5.79</v>
      </c>
      <c r="O307" s="268">
        <f t="shared" si="103"/>
        <v>13.08</v>
      </c>
      <c r="P307" s="268">
        <f t="shared" si="104"/>
        <v>18.87</v>
      </c>
      <c r="Q307" s="269">
        <f t="shared" si="105"/>
        <v>0</v>
      </c>
      <c r="R307" s="44"/>
      <c r="S307" s="49">
        <f t="shared" si="97"/>
        <v>14.87</v>
      </c>
      <c r="T307" s="44"/>
      <c r="U307" s="44"/>
      <c r="V307" s="44"/>
      <c r="W307" s="44"/>
      <c r="X307" s="44"/>
      <c r="Y307" s="44"/>
      <c r="Z307" s="44"/>
      <c r="AA307" s="44"/>
      <c r="AB307" s="44"/>
      <c r="AC307" s="44"/>
      <c r="AD307" s="44"/>
      <c r="AE307" s="44"/>
      <c r="AF307" s="44"/>
      <c r="AG307" s="44"/>
      <c r="AH307" s="44"/>
      <c r="AI307" s="44"/>
      <c r="AJ307" s="44"/>
      <c r="AK307" s="44"/>
      <c r="AL307" s="44"/>
    </row>
    <row r="308" spans="1:38" ht="27.6" x14ac:dyDescent="0.25">
      <c r="A308" s="55"/>
      <c r="B308" s="265" t="s">
        <v>1290</v>
      </c>
      <c r="C308" s="266" t="s">
        <v>191</v>
      </c>
      <c r="D308" s="265" t="s">
        <v>40</v>
      </c>
      <c r="E308" s="265" t="s">
        <v>192</v>
      </c>
      <c r="F308" s="267" t="s">
        <v>44</v>
      </c>
      <c r="G308" s="277">
        <v>59</v>
      </c>
      <c r="H308" s="268">
        <f t="shared" si="106"/>
        <v>14.21</v>
      </c>
      <c r="I308" s="287">
        <v>4.5599999999999996</v>
      </c>
      <c r="J308" s="268">
        <f t="shared" si="99"/>
        <v>5.79</v>
      </c>
      <c r="K308" s="292">
        <v>9.65</v>
      </c>
      <c r="L308" s="268">
        <f t="shared" si="100"/>
        <v>12.24</v>
      </c>
      <c r="M308" s="268">
        <f t="shared" si="101"/>
        <v>18.03</v>
      </c>
      <c r="N308" s="268">
        <f t="shared" si="102"/>
        <v>341.61</v>
      </c>
      <c r="O308" s="268">
        <f t="shared" si="103"/>
        <v>722.16</v>
      </c>
      <c r="P308" s="268">
        <f t="shared" si="104"/>
        <v>1063.77</v>
      </c>
      <c r="Q308" s="269">
        <f t="shared" si="105"/>
        <v>4.0000000000000002E-4</v>
      </c>
      <c r="R308" s="44"/>
      <c r="S308" s="49">
        <f t="shared" si="97"/>
        <v>838.39</v>
      </c>
      <c r="T308" s="44"/>
      <c r="U308" s="44"/>
      <c r="V308" s="44"/>
      <c r="W308" s="44"/>
      <c r="X308" s="44"/>
      <c r="Y308" s="44"/>
      <c r="Z308" s="44"/>
      <c r="AA308" s="44"/>
      <c r="AB308" s="44"/>
      <c r="AC308" s="44"/>
      <c r="AD308" s="44"/>
      <c r="AE308" s="44"/>
      <c r="AF308" s="44"/>
      <c r="AG308" s="44"/>
      <c r="AH308" s="44"/>
      <c r="AI308" s="44"/>
      <c r="AJ308" s="44"/>
      <c r="AK308" s="44"/>
      <c r="AL308" s="44"/>
    </row>
    <row r="309" spans="1:38" ht="27.6" x14ac:dyDescent="0.25">
      <c r="A309" s="55"/>
      <c r="B309" s="265" t="s">
        <v>1291</v>
      </c>
      <c r="C309" s="266" t="s">
        <v>661</v>
      </c>
      <c r="D309" s="265" t="s">
        <v>199</v>
      </c>
      <c r="E309" s="265" t="s">
        <v>770</v>
      </c>
      <c r="F309" s="267" t="s">
        <v>240</v>
      </c>
      <c r="G309" s="277">
        <v>117</v>
      </c>
      <c r="H309" s="268">
        <v>40.130000000000003</v>
      </c>
      <c r="I309" s="287">
        <f>9.29+13.54</f>
        <v>22.83</v>
      </c>
      <c r="J309" s="268">
        <f t="shared" si="99"/>
        <v>28.96</v>
      </c>
      <c r="K309" s="292">
        <f>H309-I309</f>
        <v>17.3</v>
      </c>
      <c r="L309" s="268">
        <f t="shared" si="100"/>
        <v>21.95</v>
      </c>
      <c r="M309" s="268">
        <f t="shared" si="101"/>
        <v>50.91</v>
      </c>
      <c r="N309" s="268">
        <f t="shared" si="102"/>
        <v>3388.32</v>
      </c>
      <c r="O309" s="268">
        <f t="shared" si="103"/>
        <v>2568.15</v>
      </c>
      <c r="P309" s="268">
        <f t="shared" si="104"/>
        <v>5956.47</v>
      </c>
      <c r="Q309" s="269">
        <f t="shared" si="105"/>
        <v>2.3999999999999998E-3</v>
      </c>
      <c r="R309" s="44"/>
      <c r="S309" s="49">
        <f t="shared" si="97"/>
        <v>4695.21</v>
      </c>
      <c r="T309" s="44"/>
      <c r="U309" s="44"/>
      <c r="V309" s="44"/>
      <c r="W309" s="44"/>
      <c r="X309" s="44"/>
      <c r="Y309" s="44"/>
      <c r="Z309" s="44"/>
      <c r="AA309" s="44"/>
      <c r="AB309" s="44"/>
      <c r="AC309" s="44"/>
      <c r="AD309" s="44"/>
      <c r="AE309" s="44"/>
      <c r="AF309" s="44"/>
      <c r="AG309" s="44"/>
      <c r="AH309" s="44"/>
      <c r="AI309" s="44"/>
      <c r="AJ309" s="44"/>
      <c r="AK309" s="44"/>
      <c r="AL309" s="44"/>
    </row>
    <row r="310" spans="1:38" ht="27.6" x14ac:dyDescent="0.25">
      <c r="A310" s="55"/>
      <c r="B310" s="265" t="s">
        <v>1292</v>
      </c>
      <c r="C310" s="266" t="s">
        <v>193</v>
      </c>
      <c r="D310" s="265" t="s">
        <v>40</v>
      </c>
      <c r="E310" s="265" t="s">
        <v>194</v>
      </c>
      <c r="F310" s="267" t="s">
        <v>44</v>
      </c>
      <c r="G310" s="277">
        <v>25</v>
      </c>
      <c r="H310" s="268">
        <f>I310+K310</f>
        <v>17.260000000000002</v>
      </c>
      <c r="I310" s="287">
        <v>1.49</v>
      </c>
      <c r="J310" s="268">
        <f t="shared" si="99"/>
        <v>1.89</v>
      </c>
      <c r="K310" s="292">
        <v>15.77</v>
      </c>
      <c r="L310" s="268">
        <f t="shared" si="100"/>
        <v>20.010000000000002</v>
      </c>
      <c r="M310" s="268">
        <f t="shared" si="101"/>
        <v>21.9</v>
      </c>
      <c r="N310" s="268">
        <f t="shared" si="102"/>
        <v>47.25</v>
      </c>
      <c r="O310" s="268">
        <f t="shared" si="103"/>
        <v>500.25</v>
      </c>
      <c r="P310" s="268">
        <f t="shared" si="104"/>
        <v>547.5</v>
      </c>
      <c r="Q310" s="269">
        <f t="shared" si="105"/>
        <v>2.0000000000000001E-4</v>
      </c>
      <c r="R310" s="44"/>
      <c r="S310" s="49">
        <f t="shared" si="97"/>
        <v>431.5</v>
      </c>
      <c r="T310" s="44"/>
      <c r="U310" s="44"/>
      <c r="V310" s="44"/>
      <c r="W310" s="44"/>
      <c r="X310" s="44"/>
      <c r="Y310" s="44"/>
      <c r="Z310" s="44"/>
      <c r="AA310" s="44"/>
      <c r="AB310" s="44"/>
      <c r="AC310" s="44"/>
      <c r="AD310" s="44"/>
      <c r="AE310" s="44"/>
      <c r="AF310" s="44"/>
      <c r="AG310" s="44"/>
      <c r="AH310" s="44"/>
      <c r="AI310" s="44"/>
      <c r="AJ310" s="44"/>
      <c r="AK310" s="44"/>
      <c r="AL310" s="44"/>
    </row>
    <row r="311" spans="1:38" x14ac:dyDescent="0.25">
      <c r="A311" s="55"/>
      <c r="B311" s="261" t="s">
        <v>1293</v>
      </c>
      <c r="C311" s="261"/>
      <c r="D311" s="261"/>
      <c r="E311" s="261" t="s">
        <v>667</v>
      </c>
      <c r="F311" s="261"/>
      <c r="G311" s="276"/>
      <c r="H311" s="262"/>
      <c r="I311" s="286"/>
      <c r="J311" s="261"/>
      <c r="K311" s="291"/>
      <c r="L311" s="261"/>
      <c r="M311" s="261"/>
      <c r="N311" s="261"/>
      <c r="O311" s="261"/>
      <c r="P311" s="263"/>
      <c r="Q311" s="263"/>
      <c r="R311" s="44"/>
      <c r="S311" s="49">
        <f t="shared" si="97"/>
        <v>0</v>
      </c>
      <c r="T311" s="44"/>
      <c r="U311" s="44"/>
      <c r="V311" s="44"/>
      <c r="W311" s="44"/>
      <c r="X311" s="44"/>
      <c r="Y311" s="44"/>
      <c r="Z311" s="44"/>
      <c r="AA311" s="44"/>
      <c r="AB311" s="44"/>
      <c r="AC311" s="44"/>
      <c r="AD311" s="44"/>
      <c r="AE311" s="44"/>
      <c r="AF311" s="44"/>
      <c r="AG311" s="44"/>
      <c r="AH311" s="44"/>
      <c r="AI311" s="44"/>
      <c r="AJ311" s="44"/>
      <c r="AK311" s="44"/>
      <c r="AL311" s="44"/>
    </row>
    <row r="312" spans="1:38" x14ac:dyDescent="0.25">
      <c r="A312" s="55"/>
      <c r="B312" s="265" t="s">
        <v>1294</v>
      </c>
      <c r="C312" s="266" t="s">
        <v>203</v>
      </c>
      <c r="D312" s="265" t="s">
        <v>146</v>
      </c>
      <c r="E312" s="265" t="s">
        <v>204</v>
      </c>
      <c r="F312" s="267" t="s">
        <v>168</v>
      </c>
      <c r="G312" s="277">
        <v>5</v>
      </c>
      <c r="H312" s="268">
        <v>17.91</v>
      </c>
      <c r="I312" s="287">
        <f>0.78+2.73</f>
        <v>3.51</v>
      </c>
      <c r="J312" s="268">
        <f t="shared" ref="J312:J323" si="107">I312*(1+$M$9)</f>
        <v>4.45</v>
      </c>
      <c r="K312" s="292">
        <f>H312-I312</f>
        <v>14.4</v>
      </c>
      <c r="L312" s="268">
        <f t="shared" ref="L312:L323" si="108">K312*(1+$M$9)</f>
        <v>18.27</v>
      </c>
      <c r="M312" s="268">
        <f t="shared" ref="M312:M323" si="109">L312+J312</f>
        <v>22.72</v>
      </c>
      <c r="N312" s="268">
        <f t="shared" ref="N312:N323" si="110">J312*G312</f>
        <v>22.25</v>
      </c>
      <c r="O312" s="268">
        <f t="shared" ref="O312:O323" si="111">L312*G312</f>
        <v>91.35</v>
      </c>
      <c r="P312" s="268">
        <f t="shared" ref="P312:P323" si="112">O312+N312</f>
        <v>113.6</v>
      </c>
      <c r="Q312" s="269">
        <f t="shared" ref="Q312:Q323" si="113">P312/$O$485</f>
        <v>0</v>
      </c>
      <c r="R312" s="44"/>
      <c r="S312" s="49">
        <f t="shared" si="97"/>
        <v>89.55</v>
      </c>
      <c r="T312" s="44"/>
      <c r="U312" s="44"/>
      <c r="V312" s="44"/>
      <c r="W312" s="44"/>
      <c r="X312" s="44"/>
      <c r="Y312" s="44"/>
      <c r="Z312" s="44"/>
      <c r="AA312" s="44"/>
      <c r="AB312" s="44"/>
      <c r="AC312" s="44"/>
      <c r="AD312" s="44"/>
      <c r="AE312" s="44"/>
      <c r="AF312" s="44"/>
      <c r="AG312" s="44"/>
      <c r="AH312" s="44"/>
      <c r="AI312" s="44"/>
      <c r="AJ312" s="44"/>
      <c r="AK312" s="44"/>
      <c r="AL312" s="44"/>
    </row>
    <row r="313" spans="1:38" ht="27.6" x14ac:dyDescent="0.25">
      <c r="A313" s="55"/>
      <c r="B313" s="265" t="s">
        <v>1295</v>
      </c>
      <c r="C313" s="266" t="s">
        <v>201</v>
      </c>
      <c r="D313" s="265" t="s">
        <v>40</v>
      </c>
      <c r="E313" s="265" t="s">
        <v>202</v>
      </c>
      <c r="F313" s="267" t="s">
        <v>44</v>
      </c>
      <c r="G313" s="277">
        <v>10</v>
      </c>
      <c r="H313" s="268">
        <f>I313+K313</f>
        <v>348.75</v>
      </c>
      <c r="I313" s="287">
        <v>15.15</v>
      </c>
      <c r="J313" s="268">
        <f t="shared" si="107"/>
        <v>19.22</v>
      </c>
      <c r="K313" s="292">
        <v>333.6</v>
      </c>
      <c r="L313" s="268">
        <f t="shared" si="108"/>
        <v>423.24</v>
      </c>
      <c r="M313" s="268">
        <f t="shared" si="109"/>
        <v>442.46</v>
      </c>
      <c r="N313" s="268">
        <f t="shared" si="110"/>
        <v>192.2</v>
      </c>
      <c r="O313" s="268">
        <f t="shared" si="111"/>
        <v>4232.3999999999996</v>
      </c>
      <c r="P313" s="268">
        <f t="shared" si="112"/>
        <v>4424.6000000000004</v>
      </c>
      <c r="Q313" s="269">
        <f t="shared" si="113"/>
        <v>1.6999999999999999E-3</v>
      </c>
      <c r="R313" s="44"/>
      <c r="S313" s="49">
        <f t="shared" si="97"/>
        <v>3487.5</v>
      </c>
      <c r="T313" s="44"/>
      <c r="U313" s="44"/>
      <c r="V313" s="44"/>
      <c r="W313" s="44"/>
      <c r="X313" s="44"/>
      <c r="Y313" s="44"/>
      <c r="Z313" s="44"/>
      <c r="AA313" s="44"/>
      <c r="AB313" s="44"/>
      <c r="AC313" s="44"/>
      <c r="AD313" s="44"/>
      <c r="AE313" s="44"/>
      <c r="AF313" s="44"/>
      <c r="AG313" s="44"/>
      <c r="AH313" s="44"/>
      <c r="AI313" s="44"/>
      <c r="AJ313" s="44"/>
      <c r="AK313" s="44"/>
      <c r="AL313" s="44"/>
    </row>
    <row r="314" spans="1:38" x14ac:dyDescent="0.25">
      <c r="A314" s="55"/>
      <c r="B314" s="265" t="s">
        <v>1296</v>
      </c>
      <c r="C314" s="266" t="s">
        <v>668</v>
      </c>
      <c r="D314" s="265" t="s">
        <v>146</v>
      </c>
      <c r="E314" s="265" t="s">
        <v>669</v>
      </c>
      <c r="F314" s="267" t="s">
        <v>168</v>
      </c>
      <c r="G314" s="277">
        <v>10</v>
      </c>
      <c r="H314" s="268">
        <v>16.55</v>
      </c>
      <c r="I314" s="287">
        <f>0.78+2.73</f>
        <v>3.51</v>
      </c>
      <c r="J314" s="268">
        <f t="shared" si="107"/>
        <v>4.45</v>
      </c>
      <c r="K314" s="292">
        <f>H314-I314</f>
        <v>13.04</v>
      </c>
      <c r="L314" s="268">
        <f t="shared" si="108"/>
        <v>16.54</v>
      </c>
      <c r="M314" s="268">
        <f t="shared" si="109"/>
        <v>20.99</v>
      </c>
      <c r="N314" s="268">
        <f t="shared" si="110"/>
        <v>44.5</v>
      </c>
      <c r="O314" s="268">
        <f t="shared" si="111"/>
        <v>165.4</v>
      </c>
      <c r="P314" s="268">
        <f t="shared" si="112"/>
        <v>209.9</v>
      </c>
      <c r="Q314" s="269">
        <f t="shared" si="113"/>
        <v>1E-4</v>
      </c>
      <c r="R314" s="44"/>
      <c r="S314" s="49">
        <f t="shared" si="97"/>
        <v>165.5</v>
      </c>
      <c r="T314" s="44"/>
      <c r="U314" s="44"/>
      <c r="V314" s="44"/>
      <c r="W314" s="44"/>
      <c r="X314" s="44"/>
      <c r="Y314" s="44"/>
      <c r="Z314" s="44"/>
      <c r="AA314" s="44"/>
      <c r="AB314" s="44"/>
      <c r="AC314" s="44"/>
      <c r="AD314" s="44"/>
      <c r="AE314" s="44"/>
      <c r="AF314" s="44"/>
      <c r="AG314" s="44"/>
      <c r="AH314" s="44"/>
      <c r="AI314" s="44"/>
      <c r="AJ314" s="44"/>
      <c r="AK314" s="44"/>
      <c r="AL314" s="44"/>
    </row>
    <row r="315" spans="1:38" x14ac:dyDescent="0.25">
      <c r="A315" s="55"/>
      <c r="B315" s="265" t="s">
        <v>1297</v>
      </c>
      <c r="C315" s="266" t="s">
        <v>670</v>
      </c>
      <c r="D315" s="265" t="s">
        <v>199</v>
      </c>
      <c r="E315" s="265" t="s">
        <v>771</v>
      </c>
      <c r="F315" s="267" t="s">
        <v>168</v>
      </c>
      <c r="G315" s="277">
        <v>1</v>
      </c>
      <c r="H315" s="268">
        <v>219.23</v>
      </c>
      <c r="I315" s="287">
        <f>3.39</f>
        <v>3.39</v>
      </c>
      <c r="J315" s="268">
        <f t="shared" si="107"/>
        <v>4.3</v>
      </c>
      <c r="K315" s="292">
        <f>H315-I315</f>
        <v>215.84</v>
      </c>
      <c r="L315" s="268">
        <f t="shared" si="108"/>
        <v>273.83999999999997</v>
      </c>
      <c r="M315" s="268">
        <f t="shared" si="109"/>
        <v>278.14</v>
      </c>
      <c r="N315" s="268">
        <f t="shared" si="110"/>
        <v>4.3</v>
      </c>
      <c r="O315" s="268">
        <f t="shared" si="111"/>
        <v>273.83999999999997</v>
      </c>
      <c r="P315" s="268">
        <f t="shared" si="112"/>
        <v>278.14</v>
      </c>
      <c r="Q315" s="269">
        <f t="shared" si="113"/>
        <v>1E-4</v>
      </c>
      <c r="R315" s="44"/>
      <c r="S315" s="49">
        <f t="shared" si="97"/>
        <v>219.23</v>
      </c>
      <c r="T315" s="44"/>
      <c r="U315" s="44"/>
      <c r="V315" s="44"/>
      <c r="W315" s="44"/>
      <c r="X315" s="44"/>
      <c r="Y315" s="44"/>
      <c r="Z315" s="44"/>
      <c r="AA315" s="44"/>
      <c r="AB315" s="44"/>
      <c r="AC315" s="44"/>
      <c r="AD315" s="44"/>
      <c r="AE315" s="44"/>
      <c r="AF315" s="44"/>
      <c r="AG315" s="44"/>
      <c r="AH315" s="44"/>
      <c r="AI315" s="44"/>
      <c r="AJ315" s="44"/>
      <c r="AK315" s="44"/>
      <c r="AL315" s="44"/>
    </row>
    <row r="316" spans="1:38" ht="27.6" x14ac:dyDescent="0.25">
      <c r="A316" s="55"/>
      <c r="B316" s="265" t="s">
        <v>1298</v>
      </c>
      <c r="C316" s="266" t="s">
        <v>671</v>
      </c>
      <c r="D316" s="265" t="s">
        <v>146</v>
      </c>
      <c r="E316" s="265" t="s">
        <v>672</v>
      </c>
      <c r="F316" s="267" t="s">
        <v>200</v>
      </c>
      <c r="G316" s="277">
        <v>6</v>
      </c>
      <c r="H316" s="268">
        <v>18.64</v>
      </c>
      <c r="I316" s="287">
        <v>0</v>
      </c>
      <c r="J316" s="268">
        <f t="shared" si="107"/>
        <v>0</v>
      </c>
      <c r="K316" s="292">
        <f>H316</f>
        <v>18.64</v>
      </c>
      <c r="L316" s="268">
        <f t="shared" si="108"/>
        <v>23.65</v>
      </c>
      <c r="M316" s="268">
        <f t="shared" si="109"/>
        <v>23.65</v>
      </c>
      <c r="N316" s="268">
        <f t="shared" si="110"/>
        <v>0</v>
      </c>
      <c r="O316" s="268">
        <f t="shared" si="111"/>
        <v>141.9</v>
      </c>
      <c r="P316" s="268">
        <f t="shared" si="112"/>
        <v>141.9</v>
      </c>
      <c r="Q316" s="269">
        <f t="shared" si="113"/>
        <v>1E-4</v>
      </c>
      <c r="R316" s="44"/>
      <c r="S316" s="49">
        <f t="shared" si="97"/>
        <v>111.84</v>
      </c>
      <c r="T316" s="44"/>
      <c r="U316" s="44"/>
      <c r="V316" s="44"/>
      <c r="W316" s="44"/>
      <c r="X316" s="44"/>
      <c r="Y316" s="44"/>
      <c r="Z316" s="44"/>
      <c r="AA316" s="44"/>
      <c r="AB316" s="44"/>
      <c r="AC316" s="44"/>
      <c r="AD316" s="44"/>
      <c r="AE316" s="44"/>
      <c r="AF316" s="44"/>
      <c r="AG316" s="44"/>
      <c r="AH316" s="44"/>
      <c r="AI316" s="44"/>
      <c r="AJ316" s="44"/>
      <c r="AK316" s="44"/>
      <c r="AL316" s="44"/>
    </row>
    <row r="317" spans="1:38" x14ac:dyDescent="0.25">
      <c r="A317" s="55"/>
      <c r="B317" s="265" t="s">
        <v>1299</v>
      </c>
      <c r="C317" s="266" t="s">
        <v>198</v>
      </c>
      <c r="D317" s="265" t="s">
        <v>199</v>
      </c>
      <c r="E317" s="265" t="s">
        <v>772</v>
      </c>
      <c r="F317" s="267" t="s">
        <v>168</v>
      </c>
      <c r="G317" s="277">
        <v>2</v>
      </c>
      <c r="H317" s="268">
        <v>14.6</v>
      </c>
      <c r="I317" s="287">
        <f>3.71+2.26</f>
        <v>5.97</v>
      </c>
      <c r="J317" s="268">
        <f t="shared" si="107"/>
        <v>7.57</v>
      </c>
      <c r="K317" s="292">
        <f t="shared" ref="K317:K323" si="114">H317-I317</f>
        <v>8.6300000000000008</v>
      </c>
      <c r="L317" s="268">
        <f t="shared" si="108"/>
        <v>10.95</v>
      </c>
      <c r="M317" s="268">
        <f t="shared" si="109"/>
        <v>18.52</v>
      </c>
      <c r="N317" s="268">
        <f t="shared" si="110"/>
        <v>15.14</v>
      </c>
      <c r="O317" s="268">
        <f t="shared" si="111"/>
        <v>21.9</v>
      </c>
      <c r="P317" s="268">
        <f t="shared" si="112"/>
        <v>37.04</v>
      </c>
      <c r="Q317" s="269">
        <f t="shared" si="113"/>
        <v>0</v>
      </c>
      <c r="R317" s="44"/>
      <c r="S317" s="49">
        <f t="shared" si="97"/>
        <v>29.2</v>
      </c>
      <c r="T317" s="44"/>
      <c r="U317" s="44"/>
      <c r="V317" s="44"/>
      <c r="W317" s="44"/>
      <c r="X317" s="44"/>
      <c r="Y317" s="44"/>
      <c r="Z317" s="44"/>
      <c r="AA317" s="44"/>
      <c r="AB317" s="44"/>
      <c r="AC317" s="44"/>
      <c r="AD317" s="44"/>
      <c r="AE317" s="44"/>
      <c r="AF317" s="44"/>
      <c r="AG317" s="44"/>
      <c r="AH317" s="44"/>
      <c r="AI317" s="44"/>
      <c r="AJ317" s="44"/>
      <c r="AK317" s="44"/>
      <c r="AL317" s="44"/>
    </row>
    <row r="318" spans="1:38" ht="27.6" x14ac:dyDescent="0.25">
      <c r="A318" s="55"/>
      <c r="B318" s="265" t="s">
        <v>1300</v>
      </c>
      <c r="C318" s="266" t="s">
        <v>857</v>
      </c>
      <c r="D318" s="265" t="s">
        <v>146</v>
      </c>
      <c r="E318" s="265" t="s">
        <v>858</v>
      </c>
      <c r="F318" s="267" t="s">
        <v>168</v>
      </c>
      <c r="G318" s="277">
        <v>39</v>
      </c>
      <c r="H318" s="268">
        <v>23.69</v>
      </c>
      <c r="I318" s="287">
        <f>0.78+2.73</f>
        <v>3.51</v>
      </c>
      <c r="J318" s="268">
        <f t="shared" si="107"/>
        <v>4.45</v>
      </c>
      <c r="K318" s="292">
        <f t="shared" si="114"/>
        <v>20.18</v>
      </c>
      <c r="L318" s="268">
        <f t="shared" si="108"/>
        <v>25.6</v>
      </c>
      <c r="M318" s="268">
        <f t="shared" si="109"/>
        <v>30.05</v>
      </c>
      <c r="N318" s="268">
        <f t="shared" si="110"/>
        <v>173.55</v>
      </c>
      <c r="O318" s="268">
        <f t="shared" si="111"/>
        <v>998.4</v>
      </c>
      <c r="P318" s="268">
        <f t="shared" si="112"/>
        <v>1171.95</v>
      </c>
      <c r="Q318" s="269">
        <f t="shared" si="113"/>
        <v>5.0000000000000001E-4</v>
      </c>
      <c r="R318" s="44"/>
      <c r="S318" s="49">
        <f t="shared" si="97"/>
        <v>923.91</v>
      </c>
      <c r="T318" s="44"/>
      <c r="U318" s="44"/>
      <c r="V318" s="44"/>
      <c r="W318" s="44"/>
      <c r="X318" s="44"/>
      <c r="Y318" s="44"/>
      <c r="Z318" s="44"/>
      <c r="AA318" s="44"/>
      <c r="AB318" s="44"/>
      <c r="AC318" s="44"/>
      <c r="AD318" s="44"/>
      <c r="AE318" s="44"/>
      <c r="AF318" s="44"/>
      <c r="AG318" s="44"/>
      <c r="AH318" s="44"/>
      <c r="AI318" s="44"/>
      <c r="AJ318" s="44"/>
      <c r="AK318" s="44"/>
      <c r="AL318" s="44"/>
    </row>
    <row r="319" spans="1:38" x14ac:dyDescent="0.25">
      <c r="A319" s="55"/>
      <c r="B319" s="265" t="s">
        <v>1301</v>
      </c>
      <c r="C319" s="266" t="s">
        <v>1498</v>
      </c>
      <c r="D319" s="265" t="s">
        <v>51</v>
      </c>
      <c r="E319" s="265" t="s">
        <v>1499</v>
      </c>
      <c r="F319" s="267" t="s">
        <v>44</v>
      </c>
      <c r="G319" s="277">
        <v>33</v>
      </c>
      <c r="H319" s="268">
        <v>27.9</v>
      </c>
      <c r="I319" s="287">
        <v>4</v>
      </c>
      <c r="J319" s="268">
        <f t="shared" si="107"/>
        <v>5.07</v>
      </c>
      <c r="K319" s="292">
        <f t="shared" si="114"/>
        <v>23.9</v>
      </c>
      <c r="L319" s="268">
        <f t="shared" si="108"/>
        <v>30.32</v>
      </c>
      <c r="M319" s="268">
        <f t="shared" si="109"/>
        <v>35.39</v>
      </c>
      <c r="N319" s="268">
        <f t="shared" si="110"/>
        <v>167.31</v>
      </c>
      <c r="O319" s="268">
        <f t="shared" si="111"/>
        <v>1000.56</v>
      </c>
      <c r="P319" s="268">
        <f t="shared" si="112"/>
        <v>1167.8699999999999</v>
      </c>
      <c r="Q319" s="269">
        <f t="shared" si="113"/>
        <v>5.0000000000000001E-4</v>
      </c>
      <c r="R319" s="44"/>
      <c r="S319" s="49">
        <f t="shared" si="97"/>
        <v>920.7</v>
      </c>
      <c r="T319" s="44"/>
      <c r="U319" s="44"/>
      <c r="V319" s="44"/>
      <c r="W319" s="44"/>
      <c r="X319" s="44"/>
      <c r="Y319" s="44"/>
      <c r="Z319" s="44"/>
      <c r="AA319" s="44"/>
      <c r="AB319" s="44"/>
      <c r="AC319" s="44"/>
      <c r="AD319" s="44"/>
      <c r="AE319" s="44"/>
      <c r="AF319" s="44"/>
      <c r="AG319" s="44"/>
      <c r="AH319" s="44"/>
      <c r="AI319" s="44"/>
      <c r="AJ319" s="44"/>
      <c r="AK319" s="44"/>
      <c r="AL319" s="44"/>
    </row>
    <row r="320" spans="1:38" ht="27.6" x14ac:dyDescent="0.25">
      <c r="A320" s="55"/>
      <c r="B320" s="265" t="s">
        <v>1302</v>
      </c>
      <c r="C320" s="266" t="s">
        <v>725</v>
      </c>
      <c r="D320" s="265" t="s">
        <v>199</v>
      </c>
      <c r="E320" s="265" t="s">
        <v>774</v>
      </c>
      <c r="F320" s="267" t="s">
        <v>168</v>
      </c>
      <c r="G320" s="277">
        <v>1</v>
      </c>
      <c r="H320" s="268">
        <v>236.86</v>
      </c>
      <c r="I320" s="287">
        <f>3.71+10.83</f>
        <v>14.54</v>
      </c>
      <c r="J320" s="268">
        <f t="shared" si="107"/>
        <v>18.45</v>
      </c>
      <c r="K320" s="292">
        <f t="shared" si="114"/>
        <v>222.32</v>
      </c>
      <c r="L320" s="268">
        <f t="shared" si="108"/>
        <v>282.06</v>
      </c>
      <c r="M320" s="268">
        <f t="shared" si="109"/>
        <v>300.51</v>
      </c>
      <c r="N320" s="268">
        <f t="shared" si="110"/>
        <v>18.45</v>
      </c>
      <c r="O320" s="268">
        <f t="shared" si="111"/>
        <v>282.06</v>
      </c>
      <c r="P320" s="268">
        <f t="shared" si="112"/>
        <v>300.51</v>
      </c>
      <c r="Q320" s="269">
        <f t="shared" si="113"/>
        <v>1E-4</v>
      </c>
      <c r="R320" s="44"/>
      <c r="S320" s="49">
        <f t="shared" si="97"/>
        <v>236.86</v>
      </c>
      <c r="T320" s="44"/>
      <c r="U320" s="44"/>
      <c r="V320" s="44"/>
      <c r="W320" s="44"/>
      <c r="X320" s="44"/>
      <c r="Y320" s="44"/>
      <c r="Z320" s="44"/>
      <c r="AA320" s="44"/>
      <c r="AB320" s="44"/>
      <c r="AC320" s="44"/>
      <c r="AD320" s="44"/>
      <c r="AE320" s="44"/>
      <c r="AF320" s="44"/>
      <c r="AG320" s="44"/>
      <c r="AH320" s="44"/>
      <c r="AI320" s="44"/>
      <c r="AJ320" s="44"/>
      <c r="AK320" s="44"/>
      <c r="AL320" s="44"/>
    </row>
    <row r="321" spans="1:38" x14ac:dyDescent="0.25">
      <c r="A321" s="55"/>
      <c r="B321" s="265" t="s">
        <v>1303</v>
      </c>
      <c r="C321" s="266" t="s">
        <v>859</v>
      </c>
      <c r="D321" s="265" t="s">
        <v>146</v>
      </c>
      <c r="E321" s="265" t="s">
        <v>860</v>
      </c>
      <c r="F321" s="267" t="s">
        <v>168</v>
      </c>
      <c r="G321" s="277">
        <v>5</v>
      </c>
      <c r="H321" s="268">
        <v>353.44</v>
      </c>
      <c r="I321" s="287">
        <f>3.8+3.9+19.13+13.65</f>
        <v>40.479999999999997</v>
      </c>
      <c r="J321" s="268">
        <f t="shared" si="107"/>
        <v>51.36</v>
      </c>
      <c r="K321" s="292">
        <f t="shared" si="114"/>
        <v>312.95999999999998</v>
      </c>
      <c r="L321" s="268">
        <f t="shared" si="108"/>
        <v>397.05</v>
      </c>
      <c r="M321" s="268">
        <f t="shared" si="109"/>
        <v>448.41</v>
      </c>
      <c r="N321" s="268">
        <f t="shared" si="110"/>
        <v>256.8</v>
      </c>
      <c r="O321" s="268">
        <f t="shared" si="111"/>
        <v>1985.25</v>
      </c>
      <c r="P321" s="268">
        <f t="shared" si="112"/>
        <v>2242.0500000000002</v>
      </c>
      <c r="Q321" s="269">
        <f t="shared" si="113"/>
        <v>8.9999999999999998E-4</v>
      </c>
      <c r="R321" s="44"/>
      <c r="S321" s="49">
        <f t="shared" si="97"/>
        <v>1767.2</v>
      </c>
      <c r="T321" s="44"/>
      <c r="U321" s="44"/>
      <c r="V321" s="44"/>
      <c r="W321" s="44"/>
      <c r="X321" s="44"/>
      <c r="Y321" s="44"/>
      <c r="Z321" s="44"/>
      <c r="AA321" s="44"/>
      <c r="AB321" s="44"/>
      <c r="AC321" s="44"/>
      <c r="AD321" s="44"/>
      <c r="AE321" s="44"/>
      <c r="AF321" s="44"/>
      <c r="AG321" s="44"/>
      <c r="AH321" s="44"/>
      <c r="AI321" s="44"/>
      <c r="AJ321" s="44"/>
      <c r="AK321" s="44"/>
      <c r="AL321" s="44"/>
    </row>
    <row r="322" spans="1:38" ht="27.6" x14ac:dyDescent="0.25">
      <c r="A322" s="55"/>
      <c r="B322" s="265" t="s">
        <v>1304</v>
      </c>
      <c r="C322" s="266" t="s">
        <v>861</v>
      </c>
      <c r="D322" s="265" t="s">
        <v>584</v>
      </c>
      <c r="E322" s="265" t="s">
        <v>1500</v>
      </c>
      <c r="F322" s="267" t="s">
        <v>585</v>
      </c>
      <c r="G322" s="277">
        <v>2</v>
      </c>
      <c r="H322" s="268">
        <v>26.9</v>
      </c>
      <c r="I322" s="287">
        <v>13.32</v>
      </c>
      <c r="J322" s="268">
        <f t="shared" si="107"/>
        <v>16.899999999999999</v>
      </c>
      <c r="K322" s="292">
        <f t="shared" si="114"/>
        <v>13.58</v>
      </c>
      <c r="L322" s="268">
        <f t="shared" si="108"/>
        <v>17.23</v>
      </c>
      <c r="M322" s="268">
        <f t="shared" si="109"/>
        <v>34.130000000000003</v>
      </c>
      <c r="N322" s="268">
        <f t="shared" si="110"/>
        <v>33.799999999999997</v>
      </c>
      <c r="O322" s="268">
        <f t="shared" si="111"/>
        <v>34.46</v>
      </c>
      <c r="P322" s="268">
        <f t="shared" si="112"/>
        <v>68.260000000000005</v>
      </c>
      <c r="Q322" s="269">
        <f t="shared" si="113"/>
        <v>0</v>
      </c>
      <c r="R322" s="44"/>
      <c r="S322" s="49">
        <f t="shared" si="97"/>
        <v>53.8</v>
      </c>
      <c r="T322" s="44"/>
      <c r="U322" s="44"/>
      <c r="V322" s="44"/>
      <c r="W322" s="44"/>
      <c r="X322" s="44"/>
      <c r="Y322" s="44"/>
      <c r="Z322" s="44"/>
      <c r="AA322" s="44"/>
      <c r="AB322" s="44"/>
      <c r="AC322" s="44"/>
      <c r="AD322" s="44"/>
      <c r="AE322" s="44"/>
      <c r="AF322" s="44"/>
      <c r="AG322" s="44"/>
      <c r="AH322" s="44"/>
      <c r="AI322" s="44"/>
      <c r="AJ322" s="44"/>
      <c r="AK322" s="44"/>
      <c r="AL322" s="44"/>
    </row>
    <row r="323" spans="1:38" ht="41.4" x14ac:dyDescent="0.25">
      <c r="A323" s="55"/>
      <c r="B323" s="265" t="s">
        <v>1501</v>
      </c>
      <c r="C323" s="266" t="s">
        <v>862</v>
      </c>
      <c r="D323" s="265" t="s">
        <v>551</v>
      </c>
      <c r="E323" s="265" t="s">
        <v>1120</v>
      </c>
      <c r="F323" s="267" t="s">
        <v>44</v>
      </c>
      <c r="G323" s="277">
        <v>1</v>
      </c>
      <c r="H323" s="268">
        <v>11.93</v>
      </c>
      <c r="I323" s="287">
        <v>5.75</v>
      </c>
      <c r="J323" s="268">
        <f t="shared" si="107"/>
        <v>7.3</v>
      </c>
      <c r="K323" s="292">
        <f t="shared" si="114"/>
        <v>6.18</v>
      </c>
      <c r="L323" s="268">
        <f t="shared" si="108"/>
        <v>7.84</v>
      </c>
      <c r="M323" s="268">
        <f t="shared" si="109"/>
        <v>15.14</v>
      </c>
      <c r="N323" s="268">
        <f t="shared" si="110"/>
        <v>7.3</v>
      </c>
      <c r="O323" s="268">
        <f t="shared" si="111"/>
        <v>7.84</v>
      </c>
      <c r="P323" s="268">
        <f t="shared" si="112"/>
        <v>15.14</v>
      </c>
      <c r="Q323" s="269">
        <f t="shared" si="113"/>
        <v>0</v>
      </c>
      <c r="R323" s="44"/>
      <c r="S323" s="49">
        <f t="shared" si="97"/>
        <v>11.93</v>
      </c>
      <c r="T323" s="44"/>
      <c r="U323" s="44"/>
      <c r="V323" s="44"/>
      <c r="W323" s="44"/>
      <c r="X323" s="44"/>
      <c r="Y323" s="44"/>
      <c r="Z323" s="44"/>
      <c r="AA323" s="44"/>
      <c r="AB323" s="44"/>
      <c r="AC323" s="44"/>
      <c r="AD323" s="44"/>
      <c r="AE323" s="44"/>
      <c r="AF323" s="44"/>
      <c r="AG323" s="44"/>
      <c r="AH323" s="44"/>
      <c r="AI323" s="44"/>
      <c r="AJ323" s="44"/>
      <c r="AK323" s="44"/>
      <c r="AL323" s="44"/>
    </row>
    <row r="324" spans="1:38" x14ac:dyDescent="0.25">
      <c r="A324" s="55"/>
      <c r="B324" s="261">
        <v>16</v>
      </c>
      <c r="C324" s="261"/>
      <c r="D324" s="261"/>
      <c r="E324" s="261" t="s">
        <v>673</v>
      </c>
      <c r="F324" s="261"/>
      <c r="G324" s="276"/>
      <c r="H324" s="262"/>
      <c r="I324" s="286"/>
      <c r="J324" s="261"/>
      <c r="K324" s="291"/>
      <c r="L324" s="261"/>
      <c r="M324" s="261"/>
      <c r="N324" s="261"/>
      <c r="O324" s="261"/>
      <c r="P324" s="263"/>
      <c r="Q324" s="263"/>
      <c r="R324" s="44"/>
      <c r="S324" s="49">
        <f t="shared" si="97"/>
        <v>0</v>
      </c>
      <c r="T324" s="44"/>
      <c r="U324" s="44"/>
      <c r="V324" s="44"/>
      <c r="W324" s="44"/>
      <c r="X324" s="44"/>
      <c r="Y324" s="44"/>
      <c r="Z324" s="44"/>
      <c r="AA324" s="44"/>
      <c r="AB324" s="44"/>
      <c r="AC324" s="44"/>
      <c r="AD324" s="44"/>
      <c r="AE324" s="44"/>
      <c r="AF324" s="44"/>
      <c r="AG324" s="44"/>
      <c r="AH324" s="44"/>
      <c r="AI324" s="44"/>
      <c r="AJ324" s="44"/>
      <c r="AK324" s="44"/>
      <c r="AL324" s="44"/>
    </row>
    <row r="325" spans="1:38" x14ac:dyDescent="0.25">
      <c r="A325" s="55"/>
      <c r="B325" s="261" t="s">
        <v>271</v>
      </c>
      <c r="C325" s="261"/>
      <c r="D325" s="261"/>
      <c r="E325" s="261" t="s">
        <v>674</v>
      </c>
      <c r="F325" s="261"/>
      <c r="G325" s="276"/>
      <c r="H325" s="262"/>
      <c r="I325" s="286"/>
      <c r="J325" s="261"/>
      <c r="K325" s="291"/>
      <c r="L325" s="261"/>
      <c r="M325" s="261"/>
      <c r="N325" s="261"/>
      <c r="O325" s="261"/>
      <c r="P325" s="263"/>
      <c r="Q325" s="263"/>
      <c r="R325" s="44"/>
      <c r="S325" s="49">
        <f t="shared" si="97"/>
        <v>0</v>
      </c>
      <c r="T325" s="44"/>
      <c r="U325" s="44"/>
      <c r="V325" s="44"/>
      <c r="W325" s="44"/>
      <c r="X325" s="44"/>
      <c r="Y325" s="44"/>
      <c r="Z325" s="44"/>
      <c r="AA325" s="44"/>
      <c r="AB325" s="44"/>
      <c r="AC325" s="44"/>
      <c r="AD325" s="44"/>
      <c r="AE325" s="44"/>
      <c r="AF325" s="44"/>
      <c r="AG325" s="44"/>
      <c r="AH325" s="44"/>
      <c r="AI325" s="44"/>
      <c r="AJ325" s="44"/>
      <c r="AK325" s="44"/>
      <c r="AL325" s="44"/>
    </row>
    <row r="326" spans="1:38" x14ac:dyDescent="0.25">
      <c r="A326" s="55"/>
      <c r="B326" s="265" t="s">
        <v>843</v>
      </c>
      <c r="C326" s="266" t="s">
        <v>1121</v>
      </c>
      <c r="D326" s="265" t="s">
        <v>146</v>
      </c>
      <c r="E326" s="265" t="s">
        <v>1122</v>
      </c>
      <c r="F326" s="267" t="s">
        <v>168</v>
      </c>
      <c r="G326" s="277">
        <v>1</v>
      </c>
      <c r="H326" s="268">
        <v>1.99</v>
      </c>
      <c r="I326" s="287">
        <f>0.04+0.04+0.19+0.14</f>
        <v>0.41</v>
      </c>
      <c r="J326" s="268">
        <f t="shared" ref="J326:J357" si="115">I326*(1+$M$9)</f>
        <v>0.52</v>
      </c>
      <c r="K326" s="292">
        <f>H326-I326</f>
        <v>1.58</v>
      </c>
      <c r="L326" s="268">
        <f t="shared" ref="L326:L357" si="116">K326*(1+$M$9)</f>
        <v>2</v>
      </c>
      <c r="M326" s="268">
        <f t="shared" ref="M326:M357" si="117">L326+J326</f>
        <v>2.52</v>
      </c>
      <c r="N326" s="268">
        <f t="shared" ref="N326:N357" si="118">J326*G326</f>
        <v>0.52</v>
      </c>
      <c r="O326" s="268">
        <f t="shared" ref="O326:O357" si="119">L326*G326</f>
        <v>2</v>
      </c>
      <c r="P326" s="268">
        <f t="shared" ref="P326:P357" si="120">O326+N326</f>
        <v>2.52</v>
      </c>
      <c r="Q326" s="269">
        <f t="shared" ref="Q326:Q357" si="121">P326/$O$485</f>
        <v>0</v>
      </c>
      <c r="R326" s="44"/>
      <c r="S326" s="49">
        <f t="shared" si="97"/>
        <v>1.99</v>
      </c>
      <c r="T326" s="44"/>
      <c r="U326" s="44"/>
      <c r="V326" s="44"/>
      <c r="W326" s="44"/>
      <c r="X326" s="44"/>
      <c r="Y326" s="44"/>
      <c r="Z326" s="44"/>
      <c r="AA326" s="44"/>
      <c r="AB326" s="44"/>
      <c r="AC326" s="44"/>
      <c r="AD326" s="44"/>
      <c r="AE326" s="44"/>
      <c r="AF326" s="44"/>
      <c r="AG326" s="44"/>
      <c r="AH326" s="44"/>
      <c r="AI326" s="44"/>
      <c r="AJ326" s="44"/>
      <c r="AK326" s="44"/>
      <c r="AL326" s="44"/>
    </row>
    <row r="327" spans="1:38" ht="27.6" x14ac:dyDescent="0.25">
      <c r="A327" s="55"/>
      <c r="B327" s="265" t="s">
        <v>844</v>
      </c>
      <c r="C327" s="266" t="s">
        <v>340</v>
      </c>
      <c r="D327" s="265" t="s">
        <v>40</v>
      </c>
      <c r="E327" s="265" t="s">
        <v>341</v>
      </c>
      <c r="F327" s="267" t="s">
        <v>44</v>
      </c>
      <c r="G327" s="277">
        <v>305</v>
      </c>
      <c r="H327" s="268">
        <f>I327+K327</f>
        <v>16.829999999999998</v>
      </c>
      <c r="I327" s="287">
        <v>10.029999999999999</v>
      </c>
      <c r="J327" s="268">
        <f t="shared" si="115"/>
        <v>12.73</v>
      </c>
      <c r="K327" s="292">
        <v>6.8</v>
      </c>
      <c r="L327" s="268">
        <f t="shared" si="116"/>
        <v>8.6300000000000008</v>
      </c>
      <c r="M327" s="268">
        <f t="shared" si="117"/>
        <v>21.36</v>
      </c>
      <c r="N327" s="268">
        <f t="shared" si="118"/>
        <v>3882.65</v>
      </c>
      <c r="O327" s="268">
        <f t="shared" si="119"/>
        <v>2632.15</v>
      </c>
      <c r="P327" s="268">
        <f t="shared" si="120"/>
        <v>6514.8</v>
      </c>
      <c r="Q327" s="269">
        <f t="shared" si="121"/>
        <v>2.5999999999999999E-3</v>
      </c>
      <c r="R327" s="44"/>
      <c r="S327" s="49">
        <f t="shared" si="97"/>
        <v>5133.1499999999996</v>
      </c>
      <c r="T327" s="44"/>
      <c r="U327" s="44"/>
      <c r="V327" s="44"/>
      <c r="W327" s="44"/>
      <c r="X327" s="44"/>
      <c r="Y327" s="44"/>
      <c r="Z327" s="44"/>
      <c r="AA327" s="44"/>
      <c r="AB327" s="44"/>
      <c r="AC327" s="44"/>
      <c r="AD327" s="44"/>
      <c r="AE327" s="44"/>
      <c r="AF327" s="44"/>
      <c r="AG327" s="44"/>
      <c r="AH327" s="44"/>
      <c r="AI327" s="44"/>
      <c r="AJ327" s="44"/>
      <c r="AK327" s="44"/>
      <c r="AL327" s="44"/>
    </row>
    <row r="328" spans="1:38" ht="27.6" x14ac:dyDescent="0.25">
      <c r="A328" s="55"/>
      <c r="B328" s="265" t="s">
        <v>1059</v>
      </c>
      <c r="C328" s="266" t="s">
        <v>1502</v>
      </c>
      <c r="D328" s="265" t="s">
        <v>40</v>
      </c>
      <c r="E328" s="265" t="s">
        <v>1503</v>
      </c>
      <c r="F328" s="267" t="s">
        <v>44</v>
      </c>
      <c r="G328" s="277">
        <v>21</v>
      </c>
      <c r="H328" s="268">
        <f>I328+K328</f>
        <v>20.91</v>
      </c>
      <c r="I328" s="287">
        <v>10.36</v>
      </c>
      <c r="J328" s="268">
        <f t="shared" si="115"/>
        <v>13.14</v>
      </c>
      <c r="K328" s="292">
        <v>10.55</v>
      </c>
      <c r="L328" s="268">
        <f t="shared" si="116"/>
        <v>13.38</v>
      </c>
      <c r="M328" s="268">
        <f t="shared" si="117"/>
        <v>26.52</v>
      </c>
      <c r="N328" s="268">
        <f t="shared" si="118"/>
        <v>275.94</v>
      </c>
      <c r="O328" s="268">
        <f t="shared" si="119"/>
        <v>280.98</v>
      </c>
      <c r="P328" s="268">
        <f t="shared" si="120"/>
        <v>556.91999999999996</v>
      </c>
      <c r="Q328" s="269">
        <f t="shared" si="121"/>
        <v>2.0000000000000001E-4</v>
      </c>
      <c r="R328" s="44"/>
      <c r="S328" s="49">
        <f t="shared" si="97"/>
        <v>439.11</v>
      </c>
      <c r="T328" s="44"/>
      <c r="U328" s="44"/>
      <c r="V328" s="44"/>
      <c r="W328" s="44"/>
      <c r="X328" s="44"/>
      <c r="Y328" s="44"/>
      <c r="Z328" s="44"/>
      <c r="AA328" s="44"/>
      <c r="AB328" s="44"/>
      <c r="AC328" s="44"/>
      <c r="AD328" s="44"/>
      <c r="AE328" s="44"/>
      <c r="AF328" s="44"/>
      <c r="AG328" s="44"/>
      <c r="AH328" s="44"/>
      <c r="AI328" s="44"/>
      <c r="AJ328" s="44"/>
      <c r="AK328" s="44"/>
      <c r="AL328" s="44"/>
    </row>
    <row r="329" spans="1:38" x14ac:dyDescent="0.25">
      <c r="A329" s="55"/>
      <c r="B329" s="265" t="s">
        <v>1060</v>
      </c>
      <c r="C329" s="266">
        <v>91937</v>
      </c>
      <c r="D329" s="265" t="s">
        <v>40</v>
      </c>
      <c r="E329" s="265" t="s">
        <v>207</v>
      </c>
      <c r="F329" s="267" t="s">
        <v>44</v>
      </c>
      <c r="G329" s="277">
        <v>99</v>
      </c>
      <c r="H329" s="268">
        <f>I329+K329</f>
        <v>15.99</v>
      </c>
      <c r="I329" s="287">
        <v>7.54</v>
      </c>
      <c r="J329" s="268">
        <f t="shared" si="115"/>
        <v>9.57</v>
      </c>
      <c r="K329" s="292">
        <v>8.4499999999999993</v>
      </c>
      <c r="L329" s="268">
        <f t="shared" si="116"/>
        <v>10.72</v>
      </c>
      <c r="M329" s="268">
        <f t="shared" si="117"/>
        <v>20.29</v>
      </c>
      <c r="N329" s="268">
        <f t="shared" si="118"/>
        <v>947.43</v>
      </c>
      <c r="O329" s="268">
        <f t="shared" si="119"/>
        <v>1061.28</v>
      </c>
      <c r="P329" s="268">
        <f t="shared" si="120"/>
        <v>2008.71</v>
      </c>
      <c r="Q329" s="269">
        <f t="shared" si="121"/>
        <v>8.0000000000000004E-4</v>
      </c>
      <c r="R329" s="44"/>
      <c r="S329" s="49">
        <f t="shared" si="97"/>
        <v>1583.01</v>
      </c>
      <c r="T329" s="44"/>
      <c r="U329" s="44"/>
      <c r="V329" s="44"/>
      <c r="W329" s="44"/>
      <c r="X329" s="44"/>
      <c r="Y329" s="44"/>
      <c r="Z329" s="44"/>
      <c r="AA329" s="44"/>
      <c r="AB329" s="44"/>
      <c r="AC329" s="44"/>
      <c r="AD329" s="44"/>
      <c r="AE329" s="44"/>
      <c r="AF329" s="44"/>
      <c r="AG329" s="44"/>
      <c r="AH329" s="44"/>
      <c r="AI329" s="44"/>
      <c r="AJ329" s="44"/>
      <c r="AK329" s="44"/>
      <c r="AL329" s="44"/>
    </row>
    <row r="330" spans="1:38" ht="27.6" x14ac:dyDescent="0.25">
      <c r="A330" s="55"/>
      <c r="B330" s="265" t="s">
        <v>1061</v>
      </c>
      <c r="C330" s="266" t="s">
        <v>675</v>
      </c>
      <c r="D330" s="265" t="s">
        <v>40</v>
      </c>
      <c r="E330" s="265" t="s">
        <v>676</v>
      </c>
      <c r="F330" s="267" t="s">
        <v>44</v>
      </c>
      <c r="G330" s="277">
        <v>6</v>
      </c>
      <c r="H330" s="268">
        <f>I330+K330</f>
        <v>14.69</v>
      </c>
      <c r="I330" s="287">
        <v>10.039999999999999</v>
      </c>
      <c r="J330" s="268">
        <f t="shared" si="115"/>
        <v>12.74</v>
      </c>
      <c r="K330" s="292">
        <v>4.6500000000000004</v>
      </c>
      <c r="L330" s="268">
        <f t="shared" si="116"/>
        <v>5.9</v>
      </c>
      <c r="M330" s="268">
        <f t="shared" si="117"/>
        <v>18.64</v>
      </c>
      <c r="N330" s="268">
        <f t="shared" si="118"/>
        <v>76.44</v>
      </c>
      <c r="O330" s="268">
        <f t="shared" si="119"/>
        <v>35.4</v>
      </c>
      <c r="P330" s="268">
        <f t="shared" si="120"/>
        <v>111.84</v>
      </c>
      <c r="Q330" s="269">
        <f t="shared" si="121"/>
        <v>0</v>
      </c>
      <c r="R330" s="44"/>
      <c r="S330" s="49">
        <f t="shared" si="97"/>
        <v>88.14</v>
      </c>
      <c r="T330" s="44"/>
      <c r="U330" s="44"/>
      <c r="V330" s="44"/>
      <c r="W330" s="44"/>
      <c r="X330" s="44"/>
      <c r="Y330" s="44"/>
      <c r="Z330" s="44"/>
      <c r="AA330" s="44"/>
      <c r="AB330" s="44"/>
      <c r="AC330" s="44"/>
      <c r="AD330" s="44"/>
      <c r="AE330" s="44"/>
      <c r="AF330" s="44"/>
      <c r="AG330" s="44"/>
      <c r="AH330" s="44"/>
      <c r="AI330" s="44"/>
      <c r="AJ330" s="44"/>
      <c r="AK330" s="44"/>
      <c r="AL330" s="44"/>
    </row>
    <row r="331" spans="1:38" ht="27.6" x14ac:dyDescent="0.25">
      <c r="A331" s="55"/>
      <c r="B331" s="265" t="s">
        <v>1062</v>
      </c>
      <c r="C331" s="266" t="s">
        <v>1123</v>
      </c>
      <c r="D331" s="265" t="s">
        <v>40</v>
      </c>
      <c r="E331" s="265" t="s">
        <v>1124</v>
      </c>
      <c r="F331" s="267" t="s">
        <v>44</v>
      </c>
      <c r="G331" s="277">
        <v>1</v>
      </c>
      <c r="H331" s="268">
        <f>I331+K331</f>
        <v>22.94</v>
      </c>
      <c r="I331" s="287">
        <v>12.4</v>
      </c>
      <c r="J331" s="268">
        <f t="shared" si="115"/>
        <v>15.73</v>
      </c>
      <c r="K331" s="292">
        <v>10.54</v>
      </c>
      <c r="L331" s="268">
        <f t="shared" si="116"/>
        <v>13.37</v>
      </c>
      <c r="M331" s="268">
        <f t="shared" si="117"/>
        <v>29.1</v>
      </c>
      <c r="N331" s="268">
        <f t="shared" si="118"/>
        <v>15.73</v>
      </c>
      <c r="O331" s="268">
        <f t="shared" si="119"/>
        <v>13.37</v>
      </c>
      <c r="P331" s="268">
        <f t="shared" si="120"/>
        <v>29.1</v>
      </c>
      <c r="Q331" s="269">
        <f t="shared" si="121"/>
        <v>0</v>
      </c>
      <c r="R331" s="44"/>
      <c r="S331" s="49">
        <f t="shared" si="97"/>
        <v>22.94</v>
      </c>
      <c r="T331" s="44"/>
      <c r="U331" s="44"/>
      <c r="V331" s="44"/>
      <c r="W331" s="44"/>
      <c r="X331" s="44"/>
      <c r="Y331" s="44"/>
      <c r="Z331" s="44"/>
      <c r="AA331" s="44"/>
      <c r="AB331" s="44"/>
      <c r="AC331" s="44"/>
      <c r="AD331" s="44"/>
      <c r="AE331" s="44"/>
      <c r="AF331" s="44"/>
      <c r="AG331" s="44"/>
      <c r="AH331" s="44"/>
      <c r="AI331" s="44"/>
      <c r="AJ331" s="44"/>
      <c r="AK331" s="44"/>
      <c r="AL331" s="44"/>
    </row>
    <row r="332" spans="1:38" x14ac:dyDescent="0.25">
      <c r="A332" s="55"/>
      <c r="B332" s="265" t="s">
        <v>1063</v>
      </c>
      <c r="C332" s="266" t="s">
        <v>677</v>
      </c>
      <c r="D332" s="265" t="s">
        <v>51</v>
      </c>
      <c r="E332" s="265" t="s">
        <v>678</v>
      </c>
      <c r="F332" s="267" t="s">
        <v>342</v>
      </c>
      <c r="G332" s="277">
        <v>407</v>
      </c>
      <c r="H332" s="268">
        <v>2.6</v>
      </c>
      <c r="I332" s="287">
        <v>1.8</v>
      </c>
      <c r="J332" s="268">
        <f t="shared" si="115"/>
        <v>2.2799999999999998</v>
      </c>
      <c r="K332" s="292">
        <f t="shared" ref="K332:K337" si="122">H332-I332</f>
        <v>0.8</v>
      </c>
      <c r="L332" s="268">
        <f t="shared" si="116"/>
        <v>1.01</v>
      </c>
      <c r="M332" s="268">
        <f t="shared" si="117"/>
        <v>3.29</v>
      </c>
      <c r="N332" s="268">
        <f t="shared" si="118"/>
        <v>927.96</v>
      </c>
      <c r="O332" s="268">
        <f t="shared" si="119"/>
        <v>411.07</v>
      </c>
      <c r="P332" s="268">
        <f t="shared" si="120"/>
        <v>1339.03</v>
      </c>
      <c r="Q332" s="269">
        <f t="shared" si="121"/>
        <v>5.0000000000000001E-4</v>
      </c>
      <c r="R332" s="44"/>
      <c r="S332" s="49">
        <f t="shared" si="97"/>
        <v>1058.2</v>
      </c>
      <c r="T332" s="44"/>
      <c r="U332" s="44"/>
      <c r="V332" s="44"/>
      <c r="W332" s="44"/>
      <c r="X332" s="44"/>
      <c r="Y332" s="44"/>
      <c r="Z332" s="44"/>
      <c r="AA332" s="44"/>
      <c r="AB332" s="44"/>
      <c r="AC332" s="44"/>
      <c r="AD332" s="44"/>
      <c r="AE332" s="44"/>
      <c r="AF332" s="44"/>
      <c r="AG332" s="44"/>
      <c r="AH332" s="44"/>
      <c r="AI332" s="44"/>
      <c r="AJ332" s="44"/>
      <c r="AK332" s="44"/>
      <c r="AL332" s="44"/>
    </row>
    <row r="333" spans="1:38" x14ac:dyDescent="0.25">
      <c r="A333" s="55"/>
      <c r="B333" s="265" t="s">
        <v>1064</v>
      </c>
      <c r="C333" s="266" t="s">
        <v>679</v>
      </c>
      <c r="D333" s="265" t="s">
        <v>51</v>
      </c>
      <c r="E333" s="265" t="s">
        <v>680</v>
      </c>
      <c r="F333" s="267" t="s">
        <v>342</v>
      </c>
      <c r="G333" s="277">
        <v>67</v>
      </c>
      <c r="H333" s="268">
        <v>4.8</v>
      </c>
      <c r="I333" s="287">
        <f>1.42+1.8</f>
        <v>3.22</v>
      </c>
      <c r="J333" s="268">
        <f t="shared" si="115"/>
        <v>4.09</v>
      </c>
      <c r="K333" s="292">
        <f t="shared" si="122"/>
        <v>1.58</v>
      </c>
      <c r="L333" s="268">
        <f t="shared" si="116"/>
        <v>2</v>
      </c>
      <c r="M333" s="268">
        <f t="shared" si="117"/>
        <v>6.09</v>
      </c>
      <c r="N333" s="268">
        <f t="shared" si="118"/>
        <v>274.02999999999997</v>
      </c>
      <c r="O333" s="268">
        <f t="shared" si="119"/>
        <v>134</v>
      </c>
      <c r="P333" s="268">
        <f t="shared" si="120"/>
        <v>408.03</v>
      </c>
      <c r="Q333" s="269">
        <f t="shared" si="121"/>
        <v>2.0000000000000001E-4</v>
      </c>
      <c r="R333" s="44"/>
      <c r="S333" s="49">
        <f t="shared" si="97"/>
        <v>321.60000000000002</v>
      </c>
      <c r="T333" s="44"/>
      <c r="U333" s="44"/>
      <c r="V333" s="44"/>
      <c r="W333" s="44"/>
      <c r="X333" s="44"/>
      <c r="Y333" s="44"/>
      <c r="Z333" s="44"/>
      <c r="AA333" s="44"/>
      <c r="AB333" s="44"/>
      <c r="AC333" s="44"/>
      <c r="AD333" s="44"/>
      <c r="AE333" s="44"/>
      <c r="AF333" s="44"/>
      <c r="AG333" s="44"/>
      <c r="AH333" s="44"/>
      <c r="AI333" s="44"/>
      <c r="AJ333" s="44"/>
      <c r="AK333" s="44"/>
      <c r="AL333" s="44"/>
    </row>
    <row r="334" spans="1:38" x14ac:dyDescent="0.25">
      <c r="A334" s="55"/>
      <c r="B334" s="265" t="s">
        <v>1065</v>
      </c>
      <c r="C334" s="266">
        <v>63120</v>
      </c>
      <c r="D334" s="265" t="s">
        <v>51</v>
      </c>
      <c r="E334" s="265" t="s">
        <v>1646</v>
      </c>
      <c r="F334" s="267" t="s">
        <v>44</v>
      </c>
      <c r="G334" s="277">
        <v>67</v>
      </c>
      <c r="H334" s="268">
        <v>8.31</v>
      </c>
      <c r="I334" s="287">
        <f>1.33+3.39</f>
        <v>4.72</v>
      </c>
      <c r="J334" s="268">
        <f t="shared" si="115"/>
        <v>5.99</v>
      </c>
      <c r="K334" s="292">
        <f t="shared" si="122"/>
        <v>3.59</v>
      </c>
      <c r="L334" s="268">
        <f t="shared" si="116"/>
        <v>4.55</v>
      </c>
      <c r="M334" s="268">
        <f t="shared" si="117"/>
        <v>10.54</v>
      </c>
      <c r="N334" s="268">
        <f t="shared" si="118"/>
        <v>401.33</v>
      </c>
      <c r="O334" s="268">
        <f t="shared" si="119"/>
        <v>304.85000000000002</v>
      </c>
      <c r="P334" s="268">
        <f t="shared" si="120"/>
        <v>706.18</v>
      </c>
      <c r="Q334" s="269">
        <f t="shared" si="121"/>
        <v>2.9999999999999997E-4</v>
      </c>
      <c r="R334" s="44"/>
      <c r="S334" s="49">
        <f t="shared" si="97"/>
        <v>556.77</v>
      </c>
      <c r="T334" s="44"/>
      <c r="U334" s="44"/>
      <c r="V334" s="44"/>
      <c r="W334" s="44"/>
      <c r="X334" s="44"/>
      <c r="Y334" s="44"/>
      <c r="Z334" s="44"/>
      <c r="AA334" s="44"/>
      <c r="AB334" s="44"/>
      <c r="AC334" s="44"/>
      <c r="AD334" s="44"/>
      <c r="AE334" s="44"/>
      <c r="AF334" s="44"/>
      <c r="AG334" s="44"/>
      <c r="AH334" s="44"/>
      <c r="AI334" s="44"/>
      <c r="AJ334" s="44"/>
      <c r="AK334" s="44"/>
      <c r="AL334" s="44"/>
    </row>
    <row r="335" spans="1:38" x14ac:dyDescent="0.25">
      <c r="A335" s="55"/>
      <c r="B335" s="265" t="s">
        <v>1066</v>
      </c>
      <c r="C335" s="266" t="s">
        <v>682</v>
      </c>
      <c r="D335" s="265" t="s">
        <v>51</v>
      </c>
      <c r="E335" s="265" t="s">
        <v>683</v>
      </c>
      <c r="F335" s="267" t="s">
        <v>44</v>
      </c>
      <c r="G335" s="277">
        <v>192</v>
      </c>
      <c r="H335" s="268">
        <v>1.33</v>
      </c>
      <c r="I335" s="287">
        <f>0.18+0.23</f>
        <v>0.41</v>
      </c>
      <c r="J335" s="268">
        <f t="shared" si="115"/>
        <v>0.52</v>
      </c>
      <c r="K335" s="292">
        <f t="shared" si="122"/>
        <v>0.92</v>
      </c>
      <c r="L335" s="268">
        <f t="shared" si="116"/>
        <v>1.17</v>
      </c>
      <c r="M335" s="268">
        <f t="shared" si="117"/>
        <v>1.69</v>
      </c>
      <c r="N335" s="268">
        <f t="shared" si="118"/>
        <v>99.84</v>
      </c>
      <c r="O335" s="268">
        <f t="shared" si="119"/>
        <v>224.64</v>
      </c>
      <c r="P335" s="268">
        <f t="shared" si="120"/>
        <v>324.48</v>
      </c>
      <c r="Q335" s="269">
        <f t="shared" si="121"/>
        <v>1E-4</v>
      </c>
      <c r="R335" s="44"/>
      <c r="S335" s="49">
        <f t="shared" si="97"/>
        <v>255.36</v>
      </c>
      <c r="T335" s="44"/>
      <c r="U335" s="44"/>
      <c r="V335" s="44"/>
      <c r="W335" s="44"/>
      <c r="X335" s="44"/>
      <c r="Y335" s="44"/>
      <c r="Z335" s="44"/>
      <c r="AA335" s="44"/>
      <c r="AB335" s="44"/>
      <c r="AC335" s="44"/>
      <c r="AD335" s="44"/>
      <c r="AE335" s="44"/>
      <c r="AF335" s="44"/>
      <c r="AG335" s="44"/>
      <c r="AH335" s="44"/>
      <c r="AI335" s="44"/>
      <c r="AJ335" s="44"/>
      <c r="AK335" s="44"/>
      <c r="AL335" s="44"/>
    </row>
    <row r="336" spans="1:38" x14ac:dyDescent="0.25">
      <c r="A336" s="55"/>
      <c r="B336" s="265" t="s">
        <v>1067</v>
      </c>
      <c r="C336" s="266" t="s">
        <v>684</v>
      </c>
      <c r="D336" s="265" t="s">
        <v>51</v>
      </c>
      <c r="E336" s="265" t="s">
        <v>685</v>
      </c>
      <c r="F336" s="267" t="s">
        <v>44</v>
      </c>
      <c r="G336" s="277">
        <v>67</v>
      </c>
      <c r="H336" s="268">
        <v>4.96</v>
      </c>
      <c r="I336" s="287">
        <f>0.26+0.33</f>
        <v>0.59</v>
      </c>
      <c r="J336" s="268">
        <f t="shared" si="115"/>
        <v>0.75</v>
      </c>
      <c r="K336" s="292">
        <f t="shared" si="122"/>
        <v>4.37</v>
      </c>
      <c r="L336" s="268">
        <f t="shared" si="116"/>
        <v>5.54</v>
      </c>
      <c r="M336" s="268">
        <f t="shared" si="117"/>
        <v>6.29</v>
      </c>
      <c r="N336" s="268">
        <f t="shared" si="118"/>
        <v>50.25</v>
      </c>
      <c r="O336" s="268">
        <f t="shared" si="119"/>
        <v>371.18</v>
      </c>
      <c r="P336" s="268">
        <f t="shared" si="120"/>
        <v>421.43</v>
      </c>
      <c r="Q336" s="269">
        <f t="shared" si="121"/>
        <v>2.0000000000000001E-4</v>
      </c>
      <c r="R336" s="44"/>
      <c r="S336" s="49">
        <f t="shared" si="97"/>
        <v>332.32</v>
      </c>
      <c r="T336" s="44"/>
      <c r="U336" s="44"/>
      <c r="V336" s="44"/>
      <c r="W336" s="44"/>
      <c r="X336" s="44"/>
      <c r="Y336" s="44"/>
      <c r="Z336" s="44"/>
      <c r="AA336" s="44"/>
      <c r="AB336" s="44"/>
      <c r="AC336" s="44"/>
      <c r="AD336" s="44"/>
      <c r="AE336" s="44"/>
      <c r="AF336" s="44"/>
      <c r="AG336" s="44"/>
      <c r="AH336" s="44"/>
      <c r="AI336" s="44"/>
      <c r="AJ336" s="44"/>
      <c r="AK336" s="44"/>
      <c r="AL336" s="44"/>
    </row>
    <row r="337" spans="1:38" x14ac:dyDescent="0.25">
      <c r="A337" s="55"/>
      <c r="B337" s="265" t="s">
        <v>1068</v>
      </c>
      <c r="C337" s="266" t="s">
        <v>686</v>
      </c>
      <c r="D337" s="265" t="s">
        <v>51</v>
      </c>
      <c r="E337" s="265" t="s">
        <v>687</v>
      </c>
      <c r="F337" s="267" t="s">
        <v>55</v>
      </c>
      <c r="G337" s="277">
        <v>67</v>
      </c>
      <c r="H337" s="268">
        <v>12.56</v>
      </c>
      <c r="I337" s="287">
        <f>4+5</f>
        <v>9</v>
      </c>
      <c r="J337" s="268">
        <f t="shared" si="115"/>
        <v>11.42</v>
      </c>
      <c r="K337" s="292">
        <f t="shared" si="122"/>
        <v>3.56</v>
      </c>
      <c r="L337" s="268">
        <f t="shared" si="116"/>
        <v>4.5199999999999996</v>
      </c>
      <c r="M337" s="268">
        <f t="shared" si="117"/>
        <v>15.94</v>
      </c>
      <c r="N337" s="268">
        <f t="shared" si="118"/>
        <v>765.14</v>
      </c>
      <c r="O337" s="268">
        <f t="shared" si="119"/>
        <v>302.83999999999997</v>
      </c>
      <c r="P337" s="268">
        <f t="shared" si="120"/>
        <v>1067.98</v>
      </c>
      <c r="Q337" s="269">
        <f t="shared" si="121"/>
        <v>4.0000000000000002E-4</v>
      </c>
      <c r="R337" s="44"/>
      <c r="S337" s="49">
        <f t="shared" si="97"/>
        <v>841.52</v>
      </c>
      <c r="T337" s="44"/>
      <c r="U337" s="44"/>
      <c r="V337" s="44"/>
      <c r="W337" s="44"/>
      <c r="X337" s="44"/>
      <c r="Y337" s="44"/>
      <c r="Z337" s="44"/>
      <c r="AA337" s="44"/>
      <c r="AB337" s="44"/>
      <c r="AC337" s="44"/>
      <c r="AD337" s="44"/>
      <c r="AE337" s="44"/>
      <c r="AF337" s="44"/>
      <c r="AG337" s="44"/>
      <c r="AH337" s="44"/>
      <c r="AI337" s="44"/>
      <c r="AJ337" s="44"/>
      <c r="AK337" s="44"/>
      <c r="AL337" s="44"/>
    </row>
    <row r="338" spans="1:38" ht="27.6" x14ac:dyDescent="0.25">
      <c r="A338" s="55"/>
      <c r="B338" s="265" t="s">
        <v>1069</v>
      </c>
      <c r="C338" s="266" t="s">
        <v>872</v>
      </c>
      <c r="D338" s="265" t="s">
        <v>40</v>
      </c>
      <c r="E338" s="265" t="s">
        <v>873</v>
      </c>
      <c r="F338" s="267" t="s">
        <v>55</v>
      </c>
      <c r="G338" s="277">
        <v>158.19999999999999</v>
      </c>
      <c r="H338" s="268">
        <f t="shared" ref="H338:H349" si="123">I338+K338</f>
        <v>57.18</v>
      </c>
      <c r="I338" s="287">
        <v>2.8</v>
      </c>
      <c r="J338" s="268">
        <f t="shared" si="115"/>
        <v>3.55</v>
      </c>
      <c r="K338" s="292">
        <v>54.38</v>
      </c>
      <c r="L338" s="268">
        <f t="shared" si="116"/>
        <v>68.989999999999995</v>
      </c>
      <c r="M338" s="268">
        <f t="shared" si="117"/>
        <v>72.540000000000006</v>
      </c>
      <c r="N338" s="268">
        <f t="shared" si="118"/>
        <v>561.61</v>
      </c>
      <c r="O338" s="268">
        <f t="shared" si="119"/>
        <v>10914.22</v>
      </c>
      <c r="P338" s="268">
        <f t="shared" si="120"/>
        <v>11475.83</v>
      </c>
      <c r="Q338" s="269">
        <f t="shared" si="121"/>
        <v>4.4999999999999997E-3</v>
      </c>
      <c r="R338" s="44"/>
      <c r="S338" s="49">
        <f t="shared" si="97"/>
        <v>9045.8799999999992</v>
      </c>
      <c r="T338" s="44"/>
      <c r="U338" s="44"/>
      <c r="V338" s="44"/>
      <c r="W338" s="44"/>
      <c r="X338" s="44"/>
      <c r="Y338" s="44"/>
      <c r="Z338" s="44"/>
      <c r="AA338" s="44"/>
      <c r="AB338" s="44"/>
      <c r="AC338" s="44"/>
      <c r="AD338" s="44"/>
      <c r="AE338" s="44"/>
      <c r="AF338" s="44"/>
      <c r="AG338" s="44"/>
      <c r="AH338" s="44"/>
      <c r="AI338" s="44"/>
      <c r="AJ338" s="44"/>
      <c r="AK338" s="44"/>
      <c r="AL338" s="44"/>
    </row>
    <row r="339" spans="1:38" ht="27.6" x14ac:dyDescent="0.25">
      <c r="A339" s="55"/>
      <c r="B339" s="265" t="s">
        <v>1070</v>
      </c>
      <c r="C339" s="266" t="s">
        <v>1504</v>
      </c>
      <c r="D339" s="265" t="s">
        <v>40</v>
      </c>
      <c r="E339" s="265" t="s">
        <v>1505</v>
      </c>
      <c r="F339" s="267" t="s">
        <v>55</v>
      </c>
      <c r="G339" s="277">
        <v>88</v>
      </c>
      <c r="H339" s="268">
        <f t="shared" si="123"/>
        <v>102.6</v>
      </c>
      <c r="I339" s="287">
        <v>4.1500000000000004</v>
      </c>
      <c r="J339" s="268">
        <f t="shared" si="115"/>
        <v>5.27</v>
      </c>
      <c r="K339" s="292">
        <v>98.45</v>
      </c>
      <c r="L339" s="268">
        <f t="shared" si="116"/>
        <v>124.9</v>
      </c>
      <c r="M339" s="268">
        <f t="shared" si="117"/>
        <v>130.16999999999999</v>
      </c>
      <c r="N339" s="268">
        <f t="shared" si="118"/>
        <v>463.76</v>
      </c>
      <c r="O339" s="268">
        <f t="shared" si="119"/>
        <v>10991.2</v>
      </c>
      <c r="P339" s="268">
        <f t="shared" si="120"/>
        <v>11454.96</v>
      </c>
      <c r="Q339" s="269">
        <f t="shared" si="121"/>
        <v>4.4999999999999997E-3</v>
      </c>
      <c r="R339" s="44"/>
      <c r="S339" s="49">
        <f t="shared" si="97"/>
        <v>9028.7999999999993</v>
      </c>
      <c r="T339" s="44"/>
      <c r="U339" s="44"/>
      <c r="V339" s="44"/>
      <c r="W339" s="44"/>
      <c r="X339" s="44"/>
      <c r="Y339" s="44"/>
      <c r="Z339" s="44"/>
      <c r="AA339" s="44"/>
      <c r="AB339" s="44"/>
      <c r="AC339" s="44"/>
      <c r="AD339" s="44"/>
      <c r="AE339" s="44"/>
      <c r="AF339" s="44"/>
      <c r="AG339" s="44"/>
      <c r="AH339" s="44"/>
      <c r="AI339" s="44"/>
      <c r="AJ339" s="44"/>
      <c r="AK339" s="44"/>
      <c r="AL339" s="44"/>
    </row>
    <row r="340" spans="1:38" ht="27.6" x14ac:dyDescent="0.25">
      <c r="A340" s="55"/>
      <c r="B340" s="265" t="s">
        <v>1071</v>
      </c>
      <c r="C340" s="266" t="s">
        <v>868</v>
      </c>
      <c r="D340" s="265" t="s">
        <v>40</v>
      </c>
      <c r="E340" s="265" t="s">
        <v>869</v>
      </c>
      <c r="F340" s="267" t="s">
        <v>55</v>
      </c>
      <c r="G340" s="277">
        <v>24.7</v>
      </c>
      <c r="H340" s="268">
        <f t="shared" si="123"/>
        <v>25.27</v>
      </c>
      <c r="I340" s="287">
        <v>3.85</v>
      </c>
      <c r="J340" s="268">
        <f t="shared" si="115"/>
        <v>4.88</v>
      </c>
      <c r="K340" s="292">
        <v>21.42</v>
      </c>
      <c r="L340" s="268">
        <f t="shared" si="116"/>
        <v>27.18</v>
      </c>
      <c r="M340" s="268">
        <f t="shared" si="117"/>
        <v>32.06</v>
      </c>
      <c r="N340" s="268">
        <f t="shared" si="118"/>
        <v>120.54</v>
      </c>
      <c r="O340" s="268">
        <f t="shared" si="119"/>
        <v>671.35</v>
      </c>
      <c r="P340" s="268">
        <f t="shared" si="120"/>
        <v>791.89</v>
      </c>
      <c r="Q340" s="269">
        <f t="shared" si="121"/>
        <v>2.9999999999999997E-4</v>
      </c>
      <c r="R340" s="44"/>
      <c r="S340" s="49">
        <f t="shared" si="97"/>
        <v>624.16999999999996</v>
      </c>
      <c r="T340" s="44"/>
      <c r="U340" s="44"/>
      <c r="V340" s="44"/>
      <c r="W340" s="44"/>
      <c r="X340" s="44"/>
      <c r="Y340" s="44"/>
      <c r="Z340" s="44"/>
      <c r="AA340" s="44"/>
      <c r="AB340" s="44"/>
      <c r="AC340" s="44"/>
      <c r="AD340" s="44"/>
      <c r="AE340" s="44"/>
      <c r="AF340" s="44"/>
      <c r="AG340" s="44"/>
      <c r="AH340" s="44"/>
      <c r="AI340" s="44"/>
      <c r="AJ340" s="44"/>
      <c r="AK340" s="44"/>
      <c r="AL340" s="44"/>
    </row>
    <row r="341" spans="1:38" ht="27.6" x14ac:dyDescent="0.25">
      <c r="A341" s="55"/>
      <c r="B341" s="265" t="s">
        <v>1072</v>
      </c>
      <c r="C341" s="266" t="s">
        <v>870</v>
      </c>
      <c r="D341" s="265" t="s">
        <v>40</v>
      </c>
      <c r="E341" s="265" t="s">
        <v>871</v>
      </c>
      <c r="F341" s="267" t="s">
        <v>55</v>
      </c>
      <c r="G341" s="277">
        <v>74.099999999999994</v>
      </c>
      <c r="H341" s="268">
        <f t="shared" si="123"/>
        <v>28.29</v>
      </c>
      <c r="I341" s="287">
        <v>2.0299999999999998</v>
      </c>
      <c r="J341" s="268">
        <f t="shared" si="115"/>
        <v>2.58</v>
      </c>
      <c r="K341" s="292">
        <v>26.26</v>
      </c>
      <c r="L341" s="268">
        <f t="shared" si="116"/>
        <v>33.32</v>
      </c>
      <c r="M341" s="268">
        <f t="shared" si="117"/>
        <v>35.9</v>
      </c>
      <c r="N341" s="268">
        <f t="shared" si="118"/>
        <v>191.18</v>
      </c>
      <c r="O341" s="268">
        <f t="shared" si="119"/>
        <v>2469.0100000000002</v>
      </c>
      <c r="P341" s="268">
        <f t="shared" si="120"/>
        <v>2660.19</v>
      </c>
      <c r="Q341" s="269">
        <f t="shared" si="121"/>
        <v>1.1000000000000001E-3</v>
      </c>
      <c r="R341" s="44"/>
      <c r="S341" s="49">
        <f t="shared" ref="S341:S404" si="124">G341*H341</f>
        <v>2096.29</v>
      </c>
      <c r="T341" s="44"/>
      <c r="U341" s="44"/>
      <c r="V341" s="44"/>
      <c r="W341" s="44"/>
      <c r="X341" s="44"/>
      <c r="Y341" s="44"/>
      <c r="Z341" s="44"/>
      <c r="AA341" s="44"/>
      <c r="AB341" s="44"/>
      <c r="AC341" s="44"/>
      <c r="AD341" s="44"/>
      <c r="AE341" s="44"/>
      <c r="AF341" s="44"/>
      <c r="AG341" s="44"/>
      <c r="AH341" s="44"/>
      <c r="AI341" s="44"/>
      <c r="AJ341" s="44"/>
      <c r="AK341" s="44"/>
      <c r="AL341" s="44"/>
    </row>
    <row r="342" spans="1:38" ht="27.6" x14ac:dyDescent="0.25">
      <c r="A342" s="55"/>
      <c r="B342" s="265" t="s">
        <v>1073</v>
      </c>
      <c r="C342" s="266" t="s">
        <v>1506</v>
      </c>
      <c r="D342" s="265" t="s">
        <v>40</v>
      </c>
      <c r="E342" s="265" t="s">
        <v>1507</v>
      </c>
      <c r="F342" s="267" t="s">
        <v>55</v>
      </c>
      <c r="G342" s="277">
        <v>234.8</v>
      </c>
      <c r="H342" s="268">
        <f t="shared" si="123"/>
        <v>16.690000000000001</v>
      </c>
      <c r="I342" s="287">
        <v>2.5499999999999998</v>
      </c>
      <c r="J342" s="268">
        <f t="shared" si="115"/>
        <v>3.24</v>
      </c>
      <c r="K342" s="292">
        <v>14.14</v>
      </c>
      <c r="L342" s="268">
        <f t="shared" si="116"/>
        <v>17.940000000000001</v>
      </c>
      <c r="M342" s="268">
        <f t="shared" si="117"/>
        <v>21.18</v>
      </c>
      <c r="N342" s="268">
        <f t="shared" si="118"/>
        <v>760.75</v>
      </c>
      <c r="O342" s="268">
        <f t="shared" si="119"/>
        <v>4212.3100000000004</v>
      </c>
      <c r="P342" s="268">
        <f t="shared" si="120"/>
        <v>4973.0600000000004</v>
      </c>
      <c r="Q342" s="269">
        <f t="shared" si="121"/>
        <v>2E-3</v>
      </c>
      <c r="R342" s="44"/>
      <c r="S342" s="49">
        <f t="shared" si="124"/>
        <v>3918.81</v>
      </c>
      <c r="T342" s="44"/>
      <c r="U342" s="44"/>
      <c r="V342" s="44"/>
      <c r="W342" s="44"/>
      <c r="X342" s="44"/>
      <c r="Y342" s="44"/>
      <c r="Z342" s="44"/>
      <c r="AA342" s="44"/>
      <c r="AB342" s="44"/>
      <c r="AC342" s="44"/>
      <c r="AD342" s="44"/>
      <c r="AE342" s="44"/>
      <c r="AF342" s="44"/>
      <c r="AG342" s="44"/>
      <c r="AH342" s="44"/>
      <c r="AI342" s="44"/>
      <c r="AJ342" s="44"/>
      <c r="AK342" s="44"/>
      <c r="AL342" s="44"/>
    </row>
    <row r="343" spans="1:38" ht="27.6" x14ac:dyDescent="0.25">
      <c r="A343" s="55"/>
      <c r="B343" s="265" t="s">
        <v>1074</v>
      </c>
      <c r="C343" s="266" t="s">
        <v>1508</v>
      </c>
      <c r="D343" s="265" t="s">
        <v>40</v>
      </c>
      <c r="E343" s="265" t="s">
        <v>1509</v>
      </c>
      <c r="F343" s="267" t="s">
        <v>55</v>
      </c>
      <c r="G343" s="277">
        <v>30.1</v>
      </c>
      <c r="H343" s="268">
        <f t="shared" si="123"/>
        <v>24.07</v>
      </c>
      <c r="I343" s="287">
        <v>3.85</v>
      </c>
      <c r="J343" s="268">
        <f t="shared" si="115"/>
        <v>4.88</v>
      </c>
      <c r="K343" s="292">
        <v>20.22</v>
      </c>
      <c r="L343" s="268">
        <f t="shared" si="116"/>
        <v>25.65</v>
      </c>
      <c r="M343" s="268">
        <f t="shared" si="117"/>
        <v>30.53</v>
      </c>
      <c r="N343" s="268">
        <f t="shared" si="118"/>
        <v>146.88999999999999</v>
      </c>
      <c r="O343" s="268">
        <f t="shared" si="119"/>
        <v>772.07</v>
      </c>
      <c r="P343" s="268">
        <f t="shared" si="120"/>
        <v>918.96</v>
      </c>
      <c r="Q343" s="269">
        <f t="shared" si="121"/>
        <v>4.0000000000000002E-4</v>
      </c>
      <c r="R343" s="44"/>
      <c r="S343" s="49">
        <f t="shared" si="124"/>
        <v>724.51</v>
      </c>
      <c r="T343" s="44"/>
      <c r="U343" s="44"/>
      <c r="V343" s="44"/>
      <c r="W343" s="44"/>
      <c r="X343" s="44"/>
      <c r="Y343" s="44"/>
      <c r="Z343" s="44"/>
      <c r="AA343" s="44"/>
      <c r="AB343" s="44"/>
      <c r="AC343" s="44"/>
      <c r="AD343" s="44"/>
      <c r="AE343" s="44"/>
      <c r="AF343" s="44"/>
      <c r="AG343" s="44"/>
      <c r="AH343" s="44"/>
      <c r="AI343" s="44"/>
      <c r="AJ343" s="44"/>
      <c r="AK343" s="44"/>
      <c r="AL343" s="44"/>
    </row>
    <row r="344" spans="1:38" ht="27.6" x14ac:dyDescent="0.25">
      <c r="A344" s="55"/>
      <c r="B344" s="265" t="s">
        <v>1076</v>
      </c>
      <c r="C344" s="266" t="s">
        <v>1510</v>
      </c>
      <c r="D344" s="265" t="s">
        <v>40</v>
      </c>
      <c r="E344" s="265" t="s">
        <v>1511</v>
      </c>
      <c r="F344" s="267" t="s">
        <v>55</v>
      </c>
      <c r="G344" s="277">
        <v>154.80000000000001</v>
      </c>
      <c r="H344" s="268">
        <f t="shared" si="123"/>
        <v>25.18</v>
      </c>
      <c r="I344" s="287">
        <v>0.38</v>
      </c>
      <c r="J344" s="268">
        <f t="shared" si="115"/>
        <v>0.48</v>
      </c>
      <c r="K344" s="292">
        <v>24.8</v>
      </c>
      <c r="L344" s="268">
        <f t="shared" si="116"/>
        <v>31.46</v>
      </c>
      <c r="M344" s="268">
        <f t="shared" si="117"/>
        <v>31.94</v>
      </c>
      <c r="N344" s="268">
        <f t="shared" si="118"/>
        <v>74.3</v>
      </c>
      <c r="O344" s="268">
        <f t="shared" si="119"/>
        <v>4870.01</v>
      </c>
      <c r="P344" s="268">
        <f t="shared" si="120"/>
        <v>4944.3100000000004</v>
      </c>
      <c r="Q344" s="269">
        <f t="shared" si="121"/>
        <v>2E-3</v>
      </c>
      <c r="R344" s="44"/>
      <c r="S344" s="49">
        <f t="shared" si="124"/>
        <v>3897.86</v>
      </c>
      <c r="T344" s="44"/>
      <c r="U344" s="44"/>
      <c r="V344" s="44"/>
      <c r="W344" s="44"/>
      <c r="X344" s="44"/>
      <c r="Y344" s="44"/>
      <c r="Z344" s="44"/>
      <c r="AA344" s="44"/>
      <c r="AB344" s="44"/>
      <c r="AC344" s="44"/>
      <c r="AD344" s="44"/>
      <c r="AE344" s="44"/>
      <c r="AF344" s="44"/>
      <c r="AG344" s="44"/>
      <c r="AH344" s="44"/>
      <c r="AI344" s="44"/>
      <c r="AJ344" s="44"/>
      <c r="AK344" s="44"/>
      <c r="AL344" s="44"/>
    </row>
    <row r="345" spans="1:38" ht="27.6" x14ac:dyDescent="0.25">
      <c r="A345" s="55"/>
      <c r="B345" s="265" t="s">
        <v>1077</v>
      </c>
      <c r="C345" s="266" t="s">
        <v>208</v>
      </c>
      <c r="D345" s="265" t="s">
        <v>40</v>
      </c>
      <c r="E345" s="265" t="s">
        <v>209</v>
      </c>
      <c r="F345" s="267" t="s">
        <v>55</v>
      </c>
      <c r="G345" s="277">
        <v>2895.1</v>
      </c>
      <c r="H345" s="268">
        <f t="shared" si="123"/>
        <v>2.89</v>
      </c>
      <c r="I345" s="287">
        <v>0.77</v>
      </c>
      <c r="J345" s="268">
        <f t="shared" si="115"/>
        <v>0.98</v>
      </c>
      <c r="K345" s="292">
        <v>2.12</v>
      </c>
      <c r="L345" s="268">
        <f t="shared" si="116"/>
        <v>2.69</v>
      </c>
      <c r="M345" s="268">
        <f t="shared" si="117"/>
        <v>3.67</v>
      </c>
      <c r="N345" s="268">
        <f t="shared" si="118"/>
        <v>2837.2</v>
      </c>
      <c r="O345" s="268">
        <f t="shared" si="119"/>
        <v>7787.82</v>
      </c>
      <c r="P345" s="268">
        <f t="shared" si="120"/>
        <v>10625.02</v>
      </c>
      <c r="Q345" s="269">
        <f t="shared" si="121"/>
        <v>4.1999999999999997E-3</v>
      </c>
      <c r="R345" s="44"/>
      <c r="S345" s="49">
        <f t="shared" si="124"/>
        <v>8366.84</v>
      </c>
      <c r="T345" s="44"/>
      <c r="U345" s="44"/>
      <c r="V345" s="44"/>
      <c r="W345" s="44"/>
      <c r="X345" s="44"/>
      <c r="Y345" s="44"/>
      <c r="Z345" s="44"/>
      <c r="AA345" s="44"/>
      <c r="AB345" s="44"/>
      <c r="AC345" s="44"/>
      <c r="AD345" s="44"/>
      <c r="AE345" s="44"/>
      <c r="AF345" s="44"/>
      <c r="AG345" s="44"/>
      <c r="AH345" s="44"/>
      <c r="AI345" s="44"/>
      <c r="AJ345" s="44"/>
      <c r="AK345" s="44"/>
      <c r="AL345" s="44"/>
    </row>
    <row r="346" spans="1:38" ht="27.6" x14ac:dyDescent="0.25">
      <c r="A346" s="55"/>
      <c r="B346" s="265" t="s">
        <v>1078</v>
      </c>
      <c r="C346" s="266">
        <v>91926</v>
      </c>
      <c r="D346" s="265" t="s">
        <v>40</v>
      </c>
      <c r="E346" s="265" t="s">
        <v>210</v>
      </c>
      <c r="F346" s="267" t="s">
        <v>55</v>
      </c>
      <c r="G346" s="277">
        <v>4759.3</v>
      </c>
      <c r="H346" s="268">
        <f t="shared" si="123"/>
        <v>4.24</v>
      </c>
      <c r="I346" s="287">
        <v>0.98</v>
      </c>
      <c r="J346" s="268">
        <f t="shared" si="115"/>
        <v>1.24</v>
      </c>
      <c r="K346" s="292">
        <v>3.26</v>
      </c>
      <c r="L346" s="268">
        <f t="shared" si="116"/>
        <v>4.1399999999999997</v>
      </c>
      <c r="M346" s="268">
        <f t="shared" si="117"/>
        <v>5.38</v>
      </c>
      <c r="N346" s="268">
        <f t="shared" si="118"/>
        <v>5901.53</v>
      </c>
      <c r="O346" s="268">
        <f t="shared" si="119"/>
        <v>19703.5</v>
      </c>
      <c r="P346" s="268">
        <f t="shared" si="120"/>
        <v>25605.03</v>
      </c>
      <c r="Q346" s="269">
        <f t="shared" si="121"/>
        <v>1.01E-2</v>
      </c>
      <c r="R346" s="44"/>
      <c r="S346" s="49">
        <f t="shared" si="124"/>
        <v>20179.43</v>
      </c>
      <c r="T346" s="44"/>
      <c r="U346" s="44"/>
      <c r="V346" s="44"/>
      <c r="W346" s="44"/>
      <c r="X346" s="44"/>
      <c r="Y346" s="44"/>
      <c r="Z346" s="44"/>
      <c r="AA346" s="44"/>
      <c r="AB346" s="44"/>
      <c r="AC346" s="44"/>
      <c r="AD346" s="44"/>
      <c r="AE346" s="44"/>
      <c r="AF346" s="44"/>
      <c r="AG346" s="44"/>
      <c r="AH346" s="44"/>
      <c r="AI346" s="44"/>
      <c r="AJ346" s="44"/>
      <c r="AK346" s="44"/>
      <c r="AL346" s="44"/>
    </row>
    <row r="347" spans="1:38" ht="27.6" x14ac:dyDescent="0.25">
      <c r="A347" s="55"/>
      <c r="B347" s="265" t="s">
        <v>1079</v>
      </c>
      <c r="C347" s="266" t="s">
        <v>211</v>
      </c>
      <c r="D347" s="265" t="s">
        <v>40</v>
      </c>
      <c r="E347" s="265" t="s">
        <v>212</v>
      </c>
      <c r="F347" s="267" t="s">
        <v>55</v>
      </c>
      <c r="G347" s="277">
        <v>357.8</v>
      </c>
      <c r="H347" s="268">
        <f t="shared" si="123"/>
        <v>6.59</v>
      </c>
      <c r="I347" s="287">
        <v>1.32</v>
      </c>
      <c r="J347" s="268">
        <f t="shared" si="115"/>
        <v>1.67</v>
      </c>
      <c r="K347" s="292">
        <v>5.27</v>
      </c>
      <c r="L347" s="268">
        <f t="shared" si="116"/>
        <v>6.69</v>
      </c>
      <c r="M347" s="268">
        <f t="shared" si="117"/>
        <v>8.36</v>
      </c>
      <c r="N347" s="268">
        <f t="shared" si="118"/>
        <v>597.53</v>
      </c>
      <c r="O347" s="268">
        <f t="shared" si="119"/>
        <v>2393.6799999999998</v>
      </c>
      <c r="P347" s="268">
        <f t="shared" si="120"/>
        <v>2991.21</v>
      </c>
      <c r="Q347" s="269">
        <f t="shared" si="121"/>
        <v>1.1999999999999999E-3</v>
      </c>
      <c r="R347" s="44"/>
      <c r="S347" s="49">
        <f t="shared" si="124"/>
        <v>2357.9</v>
      </c>
      <c r="T347" s="44"/>
      <c r="U347" s="44"/>
      <c r="V347" s="44"/>
      <c r="W347" s="44"/>
      <c r="X347" s="44"/>
      <c r="Y347" s="44"/>
      <c r="Z347" s="44"/>
      <c r="AA347" s="44"/>
      <c r="AB347" s="44"/>
      <c r="AC347" s="44"/>
      <c r="AD347" s="44"/>
      <c r="AE347" s="44"/>
      <c r="AF347" s="44"/>
      <c r="AG347" s="44"/>
      <c r="AH347" s="44"/>
      <c r="AI347" s="44"/>
      <c r="AJ347" s="44"/>
      <c r="AK347" s="44"/>
      <c r="AL347" s="44"/>
    </row>
    <row r="348" spans="1:38" ht="27.6" x14ac:dyDescent="0.25">
      <c r="A348" s="55"/>
      <c r="B348" s="265" t="s">
        <v>1080</v>
      </c>
      <c r="C348" s="266" t="s">
        <v>213</v>
      </c>
      <c r="D348" s="265" t="s">
        <v>40</v>
      </c>
      <c r="E348" s="265" t="s">
        <v>214</v>
      </c>
      <c r="F348" s="267" t="s">
        <v>55</v>
      </c>
      <c r="G348" s="277">
        <v>102.2</v>
      </c>
      <c r="H348" s="268">
        <f t="shared" si="123"/>
        <v>9.25</v>
      </c>
      <c r="I348" s="287">
        <v>1.72</v>
      </c>
      <c r="J348" s="268">
        <f t="shared" si="115"/>
        <v>2.1800000000000002</v>
      </c>
      <c r="K348" s="292">
        <v>7.53</v>
      </c>
      <c r="L348" s="268">
        <f t="shared" si="116"/>
        <v>9.5500000000000007</v>
      </c>
      <c r="M348" s="268">
        <f t="shared" si="117"/>
        <v>11.73</v>
      </c>
      <c r="N348" s="268">
        <f t="shared" si="118"/>
        <v>222.8</v>
      </c>
      <c r="O348" s="268">
        <f t="shared" si="119"/>
        <v>976.01</v>
      </c>
      <c r="P348" s="268">
        <f t="shared" si="120"/>
        <v>1198.81</v>
      </c>
      <c r="Q348" s="269">
        <f t="shared" si="121"/>
        <v>5.0000000000000001E-4</v>
      </c>
      <c r="R348" s="44"/>
      <c r="S348" s="49">
        <f t="shared" si="124"/>
        <v>945.35</v>
      </c>
      <c r="T348" s="44"/>
      <c r="U348" s="44"/>
      <c r="V348" s="44"/>
      <c r="W348" s="44"/>
      <c r="X348" s="44"/>
      <c r="Y348" s="44"/>
      <c r="Z348" s="44"/>
      <c r="AA348" s="44"/>
      <c r="AB348" s="44"/>
      <c r="AC348" s="44"/>
      <c r="AD348" s="44"/>
      <c r="AE348" s="44"/>
      <c r="AF348" s="44"/>
      <c r="AG348" s="44"/>
      <c r="AH348" s="44"/>
      <c r="AI348" s="44"/>
      <c r="AJ348" s="44"/>
      <c r="AK348" s="44"/>
      <c r="AL348" s="44"/>
    </row>
    <row r="349" spans="1:38" ht="27.6" x14ac:dyDescent="0.25">
      <c r="A349" s="55"/>
      <c r="B349" s="265" t="s">
        <v>1081</v>
      </c>
      <c r="C349" s="266" t="s">
        <v>337</v>
      </c>
      <c r="D349" s="265" t="s">
        <v>40</v>
      </c>
      <c r="E349" s="265" t="s">
        <v>338</v>
      </c>
      <c r="F349" s="267" t="s">
        <v>44</v>
      </c>
      <c r="G349" s="277">
        <v>4</v>
      </c>
      <c r="H349" s="268">
        <f t="shared" si="123"/>
        <v>143.88999999999999</v>
      </c>
      <c r="I349" s="287">
        <v>66.66</v>
      </c>
      <c r="J349" s="268">
        <f t="shared" si="115"/>
        <v>84.57</v>
      </c>
      <c r="K349" s="292">
        <f>0.3+76.82+0.11</f>
        <v>77.23</v>
      </c>
      <c r="L349" s="268">
        <f t="shared" si="116"/>
        <v>97.98</v>
      </c>
      <c r="M349" s="268">
        <f t="shared" si="117"/>
        <v>182.55</v>
      </c>
      <c r="N349" s="268">
        <f t="shared" si="118"/>
        <v>338.28</v>
      </c>
      <c r="O349" s="268">
        <f t="shared" si="119"/>
        <v>391.92</v>
      </c>
      <c r="P349" s="268">
        <f t="shared" si="120"/>
        <v>730.2</v>
      </c>
      <c r="Q349" s="269">
        <f t="shared" si="121"/>
        <v>2.9999999999999997E-4</v>
      </c>
      <c r="R349" s="44"/>
      <c r="S349" s="49">
        <f t="shared" si="124"/>
        <v>575.55999999999995</v>
      </c>
      <c r="T349" s="44"/>
      <c r="U349" s="44"/>
      <c r="V349" s="44"/>
      <c r="W349" s="44"/>
      <c r="X349" s="44"/>
      <c r="Y349" s="44"/>
      <c r="Z349" s="44"/>
      <c r="AA349" s="44"/>
      <c r="AB349" s="44"/>
      <c r="AC349" s="44"/>
      <c r="AD349" s="44"/>
      <c r="AE349" s="44"/>
      <c r="AF349" s="44"/>
      <c r="AG349" s="44"/>
      <c r="AH349" s="44"/>
      <c r="AI349" s="44"/>
      <c r="AJ349" s="44"/>
      <c r="AK349" s="44"/>
      <c r="AL349" s="44"/>
    </row>
    <row r="350" spans="1:38" x14ac:dyDescent="0.25">
      <c r="A350" s="55"/>
      <c r="B350" s="265" t="s">
        <v>1082</v>
      </c>
      <c r="C350" s="266" t="s">
        <v>688</v>
      </c>
      <c r="D350" s="265" t="s">
        <v>51</v>
      </c>
      <c r="E350" s="265" t="s">
        <v>689</v>
      </c>
      <c r="F350" s="267" t="s">
        <v>44</v>
      </c>
      <c r="G350" s="277">
        <v>4</v>
      </c>
      <c r="H350" s="268">
        <v>209.66</v>
      </c>
      <c r="I350" s="287">
        <f>20.04+25.45</f>
        <v>45.49</v>
      </c>
      <c r="J350" s="268">
        <f t="shared" si="115"/>
        <v>57.71</v>
      </c>
      <c r="K350" s="292">
        <f>H350-I350</f>
        <v>164.17</v>
      </c>
      <c r="L350" s="268">
        <f t="shared" si="116"/>
        <v>208.28</v>
      </c>
      <c r="M350" s="268">
        <f t="shared" si="117"/>
        <v>265.99</v>
      </c>
      <c r="N350" s="268">
        <f t="shared" si="118"/>
        <v>230.84</v>
      </c>
      <c r="O350" s="268">
        <f t="shared" si="119"/>
        <v>833.12</v>
      </c>
      <c r="P350" s="268">
        <f t="shared" si="120"/>
        <v>1063.96</v>
      </c>
      <c r="Q350" s="269">
        <f t="shared" si="121"/>
        <v>4.0000000000000002E-4</v>
      </c>
      <c r="R350" s="44"/>
      <c r="S350" s="49">
        <f t="shared" si="124"/>
        <v>838.64</v>
      </c>
      <c r="T350" s="44"/>
      <c r="U350" s="44"/>
      <c r="V350" s="44"/>
      <c r="W350" s="44"/>
      <c r="X350" s="44"/>
      <c r="Y350" s="44"/>
      <c r="Z350" s="44"/>
      <c r="AA350" s="44"/>
      <c r="AB350" s="44"/>
      <c r="AC350" s="44"/>
      <c r="AD350" s="44"/>
      <c r="AE350" s="44"/>
      <c r="AF350" s="44"/>
      <c r="AG350" s="44"/>
      <c r="AH350" s="44"/>
      <c r="AI350" s="44"/>
      <c r="AJ350" s="44"/>
      <c r="AK350" s="44"/>
      <c r="AL350" s="44"/>
    </row>
    <row r="351" spans="1:38" ht="27.6" x14ac:dyDescent="0.25">
      <c r="A351" s="55"/>
      <c r="B351" s="265" t="s">
        <v>1083</v>
      </c>
      <c r="C351" s="266" t="s">
        <v>1512</v>
      </c>
      <c r="D351" s="265" t="s">
        <v>40</v>
      </c>
      <c r="E351" s="265" t="s">
        <v>1513</v>
      </c>
      <c r="F351" s="267" t="s">
        <v>44</v>
      </c>
      <c r="G351" s="277">
        <v>1</v>
      </c>
      <c r="H351" s="268">
        <f t="shared" ref="H351:H356" si="125">I351+K351</f>
        <v>65.11</v>
      </c>
      <c r="I351" s="287">
        <v>29.47</v>
      </c>
      <c r="J351" s="268">
        <f t="shared" si="115"/>
        <v>37.39</v>
      </c>
      <c r="K351" s="292">
        <v>35.64</v>
      </c>
      <c r="L351" s="268">
        <f t="shared" si="116"/>
        <v>45.22</v>
      </c>
      <c r="M351" s="268">
        <f t="shared" si="117"/>
        <v>82.61</v>
      </c>
      <c r="N351" s="268">
        <f t="shared" si="118"/>
        <v>37.39</v>
      </c>
      <c r="O351" s="268">
        <f t="shared" si="119"/>
        <v>45.22</v>
      </c>
      <c r="P351" s="268">
        <f t="shared" si="120"/>
        <v>82.61</v>
      </c>
      <c r="Q351" s="269">
        <f t="shared" si="121"/>
        <v>0</v>
      </c>
      <c r="R351" s="44"/>
      <c r="S351" s="49">
        <f t="shared" si="124"/>
        <v>65.11</v>
      </c>
      <c r="T351" s="44"/>
      <c r="U351" s="44"/>
      <c r="V351" s="44"/>
      <c r="W351" s="44"/>
      <c r="X351" s="44"/>
      <c r="Y351" s="44"/>
      <c r="Z351" s="44"/>
      <c r="AA351" s="44"/>
      <c r="AB351" s="44"/>
      <c r="AC351" s="44"/>
      <c r="AD351" s="44"/>
      <c r="AE351" s="44"/>
      <c r="AF351" s="44"/>
      <c r="AG351" s="44"/>
      <c r="AH351" s="44"/>
      <c r="AI351" s="44"/>
      <c r="AJ351" s="44"/>
      <c r="AK351" s="44"/>
      <c r="AL351" s="44"/>
    </row>
    <row r="352" spans="1:38" ht="27.6" x14ac:dyDescent="0.25">
      <c r="A352" s="55"/>
      <c r="B352" s="265" t="s">
        <v>1084</v>
      </c>
      <c r="C352" s="266" t="s">
        <v>1514</v>
      </c>
      <c r="D352" s="265" t="s">
        <v>40</v>
      </c>
      <c r="E352" s="265" t="s">
        <v>1515</v>
      </c>
      <c r="F352" s="267" t="s">
        <v>44</v>
      </c>
      <c r="G352" s="277">
        <v>2</v>
      </c>
      <c r="H352" s="268">
        <f t="shared" si="125"/>
        <v>44.91</v>
      </c>
      <c r="I352" s="287">
        <v>17.96</v>
      </c>
      <c r="J352" s="268">
        <f t="shared" si="115"/>
        <v>22.79</v>
      </c>
      <c r="K352" s="292">
        <v>26.95</v>
      </c>
      <c r="L352" s="268">
        <f t="shared" si="116"/>
        <v>34.19</v>
      </c>
      <c r="M352" s="268">
        <f t="shared" si="117"/>
        <v>56.98</v>
      </c>
      <c r="N352" s="268">
        <f t="shared" si="118"/>
        <v>45.58</v>
      </c>
      <c r="O352" s="268">
        <f t="shared" si="119"/>
        <v>68.38</v>
      </c>
      <c r="P352" s="268">
        <f t="shared" si="120"/>
        <v>113.96</v>
      </c>
      <c r="Q352" s="269">
        <f t="shared" si="121"/>
        <v>0</v>
      </c>
      <c r="R352" s="44"/>
      <c r="S352" s="49">
        <f t="shared" si="124"/>
        <v>89.82</v>
      </c>
      <c r="T352" s="44"/>
      <c r="U352" s="44"/>
      <c r="V352" s="44"/>
      <c r="W352" s="44"/>
      <c r="X352" s="44"/>
      <c r="Y352" s="44"/>
      <c r="Z352" s="44"/>
      <c r="AA352" s="44"/>
      <c r="AB352" s="44"/>
      <c r="AC352" s="44"/>
      <c r="AD352" s="44"/>
      <c r="AE352" s="44"/>
      <c r="AF352" s="44"/>
      <c r="AG352" s="44"/>
      <c r="AH352" s="44"/>
      <c r="AI352" s="44"/>
      <c r="AJ352" s="44"/>
      <c r="AK352" s="44"/>
      <c r="AL352" s="44"/>
    </row>
    <row r="353" spans="1:38" ht="27.6" x14ac:dyDescent="0.25">
      <c r="A353" s="55"/>
      <c r="B353" s="265" t="s">
        <v>1085</v>
      </c>
      <c r="C353" s="266" t="s">
        <v>215</v>
      </c>
      <c r="D353" s="265" t="s">
        <v>40</v>
      </c>
      <c r="E353" s="265" t="s">
        <v>216</v>
      </c>
      <c r="F353" s="267" t="s">
        <v>44</v>
      </c>
      <c r="G353" s="277">
        <v>11</v>
      </c>
      <c r="H353" s="268">
        <f t="shared" si="125"/>
        <v>31.88</v>
      </c>
      <c r="I353" s="287">
        <v>15.09</v>
      </c>
      <c r="J353" s="268">
        <f t="shared" si="115"/>
        <v>19.14</v>
      </c>
      <c r="K353" s="292">
        <v>16.79</v>
      </c>
      <c r="L353" s="268">
        <f t="shared" si="116"/>
        <v>21.3</v>
      </c>
      <c r="M353" s="268">
        <f t="shared" si="117"/>
        <v>40.44</v>
      </c>
      <c r="N353" s="268">
        <f t="shared" si="118"/>
        <v>210.54</v>
      </c>
      <c r="O353" s="268">
        <f t="shared" si="119"/>
        <v>234.3</v>
      </c>
      <c r="P353" s="268">
        <f t="shared" si="120"/>
        <v>444.84</v>
      </c>
      <c r="Q353" s="269">
        <f t="shared" si="121"/>
        <v>2.0000000000000001E-4</v>
      </c>
      <c r="R353" s="44"/>
      <c r="S353" s="49">
        <f t="shared" si="124"/>
        <v>350.68</v>
      </c>
      <c r="T353" s="44"/>
      <c r="U353" s="44"/>
      <c r="V353" s="44"/>
      <c r="W353" s="44"/>
      <c r="X353" s="44"/>
      <c r="Y353" s="44"/>
      <c r="Z353" s="44"/>
      <c r="AA353" s="44"/>
      <c r="AB353" s="44"/>
      <c r="AC353" s="44"/>
      <c r="AD353" s="44"/>
      <c r="AE353" s="44"/>
      <c r="AF353" s="44"/>
      <c r="AG353" s="44"/>
      <c r="AH353" s="44"/>
      <c r="AI353" s="44"/>
      <c r="AJ353" s="44"/>
      <c r="AK353" s="44"/>
      <c r="AL353" s="44"/>
    </row>
    <row r="354" spans="1:38" ht="27.6" x14ac:dyDescent="0.25">
      <c r="A354" s="55"/>
      <c r="B354" s="265" t="s">
        <v>1086</v>
      </c>
      <c r="C354" s="266" t="s">
        <v>1431</v>
      </c>
      <c r="D354" s="265" t="s">
        <v>40</v>
      </c>
      <c r="E354" s="265" t="s">
        <v>1432</v>
      </c>
      <c r="F354" s="267" t="s">
        <v>44</v>
      </c>
      <c r="G354" s="277">
        <v>3</v>
      </c>
      <c r="H354" s="268">
        <f t="shared" si="125"/>
        <v>51.35</v>
      </c>
      <c r="I354" s="287">
        <v>23.75</v>
      </c>
      <c r="J354" s="268">
        <f t="shared" si="115"/>
        <v>30.13</v>
      </c>
      <c r="K354" s="292">
        <v>27.6</v>
      </c>
      <c r="L354" s="268">
        <f t="shared" si="116"/>
        <v>35.020000000000003</v>
      </c>
      <c r="M354" s="268">
        <f t="shared" si="117"/>
        <v>65.150000000000006</v>
      </c>
      <c r="N354" s="268">
        <f t="shared" si="118"/>
        <v>90.39</v>
      </c>
      <c r="O354" s="268">
        <f t="shared" si="119"/>
        <v>105.06</v>
      </c>
      <c r="P354" s="268">
        <f t="shared" si="120"/>
        <v>195.45</v>
      </c>
      <c r="Q354" s="269">
        <f t="shared" si="121"/>
        <v>1E-4</v>
      </c>
      <c r="R354" s="44"/>
      <c r="S354" s="49">
        <f t="shared" si="124"/>
        <v>154.05000000000001</v>
      </c>
      <c r="T354" s="44"/>
      <c r="U354" s="44"/>
      <c r="V354" s="44"/>
      <c r="W354" s="44"/>
      <c r="X354" s="44"/>
      <c r="Y354" s="44"/>
      <c r="Z354" s="44"/>
      <c r="AA354" s="44"/>
      <c r="AB354" s="44"/>
      <c r="AC354" s="44"/>
      <c r="AD354" s="44"/>
      <c r="AE354" s="44"/>
      <c r="AF354" s="44"/>
      <c r="AG354" s="44"/>
      <c r="AH354" s="44"/>
      <c r="AI354" s="44"/>
      <c r="AJ354" s="44"/>
      <c r="AK354" s="44"/>
      <c r="AL354" s="44"/>
    </row>
    <row r="355" spans="1:38" ht="27.6" x14ac:dyDescent="0.25">
      <c r="A355" s="55"/>
      <c r="B355" s="265" t="s">
        <v>1087</v>
      </c>
      <c r="C355" s="266" t="s">
        <v>1516</v>
      </c>
      <c r="D355" s="265" t="s">
        <v>40</v>
      </c>
      <c r="E355" s="265" t="s">
        <v>1517</v>
      </c>
      <c r="F355" s="267" t="s">
        <v>44</v>
      </c>
      <c r="G355" s="277">
        <v>1</v>
      </c>
      <c r="H355" s="268">
        <f t="shared" si="125"/>
        <v>70.78</v>
      </c>
      <c r="I355" s="287">
        <v>32.340000000000003</v>
      </c>
      <c r="J355" s="268">
        <f t="shared" si="115"/>
        <v>41.03</v>
      </c>
      <c r="K355" s="292">
        <v>38.44</v>
      </c>
      <c r="L355" s="268">
        <f t="shared" si="116"/>
        <v>48.77</v>
      </c>
      <c r="M355" s="268">
        <f t="shared" si="117"/>
        <v>89.8</v>
      </c>
      <c r="N355" s="268">
        <f t="shared" si="118"/>
        <v>41.03</v>
      </c>
      <c r="O355" s="268">
        <f t="shared" si="119"/>
        <v>48.77</v>
      </c>
      <c r="P355" s="268">
        <f t="shared" si="120"/>
        <v>89.8</v>
      </c>
      <c r="Q355" s="269">
        <f t="shared" si="121"/>
        <v>0</v>
      </c>
      <c r="R355" s="44"/>
      <c r="S355" s="49">
        <f t="shared" si="124"/>
        <v>70.78</v>
      </c>
      <c r="T355" s="44"/>
      <c r="U355" s="44"/>
      <c r="V355" s="44"/>
      <c r="W355" s="44"/>
      <c r="X355" s="44"/>
      <c r="Y355" s="44"/>
      <c r="Z355" s="44"/>
      <c r="AA355" s="44"/>
      <c r="AB355" s="44"/>
      <c r="AC355" s="44"/>
      <c r="AD355" s="44"/>
      <c r="AE355" s="44"/>
      <c r="AF355" s="44"/>
      <c r="AG355" s="44"/>
      <c r="AH355" s="44"/>
      <c r="AI355" s="44"/>
      <c r="AJ355" s="44"/>
      <c r="AK355" s="44"/>
      <c r="AL355" s="44"/>
    </row>
    <row r="356" spans="1:38" ht="27.6" x14ac:dyDescent="0.25">
      <c r="A356" s="55"/>
      <c r="B356" s="265" t="s">
        <v>1088</v>
      </c>
      <c r="C356" s="266" t="s">
        <v>690</v>
      </c>
      <c r="D356" s="265" t="s">
        <v>40</v>
      </c>
      <c r="E356" s="265" t="s">
        <v>691</v>
      </c>
      <c r="F356" s="267" t="s">
        <v>44</v>
      </c>
      <c r="G356" s="277">
        <v>21</v>
      </c>
      <c r="H356" s="268">
        <f t="shared" si="125"/>
        <v>26.22</v>
      </c>
      <c r="I356" s="287">
        <v>12.21</v>
      </c>
      <c r="J356" s="268">
        <f t="shared" si="115"/>
        <v>15.49</v>
      </c>
      <c r="K356" s="292">
        <v>14.01</v>
      </c>
      <c r="L356" s="268">
        <f t="shared" si="116"/>
        <v>17.77</v>
      </c>
      <c r="M356" s="268">
        <f t="shared" si="117"/>
        <v>33.26</v>
      </c>
      <c r="N356" s="268">
        <f t="shared" si="118"/>
        <v>325.29000000000002</v>
      </c>
      <c r="O356" s="268">
        <f t="shared" si="119"/>
        <v>373.17</v>
      </c>
      <c r="P356" s="268">
        <f t="shared" si="120"/>
        <v>698.46</v>
      </c>
      <c r="Q356" s="269">
        <f t="shared" si="121"/>
        <v>2.9999999999999997E-4</v>
      </c>
      <c r="R356" s="44"/>
      <c r="S356" s="49">
        <f t="shared" si="124"/>
        <v>550.62</v>
      </c>
      <c r="T356" s="44"/>
      <c r="U356" s="44"/>
      <c r="V356" s="44"/>
      <c r="W356" s="44"/>
      <c r="X356" s="44"/>
      <c r="Y356" s="44"/>
      <c r="Z356" s="44"/>
      <c r="AA356" s="44"/>
      <c r="AB356" s="44"/>
      <c r="AC356" s="44"/>
      <c r="AD356" s="44"/>
      <c r="AE356" s="44"/>
      <c r="AF356" s="44"/>
      <c r="AG356" s="44"/>
      <c r="AH356" s="44"/>
      <c r="AI356" s="44"/>
      <c r="AJ356" s="44"/>
      <c r="AK356" s="44"/>
      <c r="AL356" s="44"/>
    </row>
    <row r="357" spans="1:38" x14ac:dyDescent="0.25">
      <c r="A357" s="55"/>
      <c r="B357" s="265" t="s">
        <v>1089</v>
      </c>
      <c r="C357" s="266" t="s">
        <v>692</v>
      </c>
      <c r="D357" s="265" t="s">
        <v>51</v>
      </c>
      <c r="E357" s="265" t="s">
        <v>693</v>
      </c>
      <c r="F357" s="267" t="s">
        <v>44</v>
      </c>
      <c r="G357" s="277">
        <v>38</v>
      </c>
      <c r="H357" s="268">
        <v>11.09</v>
      </c>
      <c r="I357" s="287">
        <f>2.64+3.35</f>
        <v>5.99</v>
      </c>
      <c r="J357" s="268">
        <f t="shared" si="115"/>
        <v>7.6</v>
      </c>
      <c r="K357" s="292">
        <f>H357-I357</f>
        <v>5.0999999999999996</v>
      </c>
      <c r="L357" s="268">
        <f t="shared" si="116"/>
        <v>6.47</v>
      </c>
      <c r="M357" s="268">
        <f t="shared" si="117"/>
        <v>14.07</v>
      </c>
      <c r="N357" s="268">
        <f t="shared" si="118"/>
        <v>288.8</v>
      </c>
      <c r="O357" s="268">
        <f t="shared" si="119"/>
        <v>245.86</v>
      </c>
      <c r="P357" s="268">
        <f t="shared" si="120"/>
        <v>534.66</v>
      </c>
      <c r="Q357" s="269">
        <f t="shared" si="121"/>
        <v>2.0000000000000001E-4</v>
      </c>
      <c r="R357" s="44"/>
      <c r="S357" s="49">
        <f t="shared" si="124"/>
        <v>421.42</v>
      </c>
      <c r="T357" s="44"/>
      <c r="U357" s="44"/>
      <c r="V357" s="44"/>
      <c r="W357" s="44"/>
      <c r="X357" s="44"/>
      <c r="Y357" s="44"/>
      <c r="Z357" s="44"/>
      <c r="AA357" s="44"/>
      <c r="AB357" s="44"/>
      <c r="AC357" s="44"/>
      <c r="AD357" s="44"/>
      <c r="AE357" s="44"/>
      <c r="AF357" s="44"/>
      <c r="AG357" s="44"/>
      <c r="AH357" s="44"/>
      <c r="AI357" s="44"/>
      <c r="AJ357" s="44"/>
      <c r="AK357" s="44"/>
      <c r="AL357" s="44"/>
    </row>
    <row r="358" spans="1:38" x14ac:dyDescent="0.25">
      <c r="A358" s="55"/>
      <c r="B358" s="265" t="s">
        <v>1090</v>
      </c>
      <c r="C358" s="266" t="s">
        <v>694</v>
      </c>
      <c r="D358" s="265" t="s">
        <v>51</v>
      </c>
      <c r="E358" s="265" t="s">
        <v>695</v>
      </c>
      <c r="F358" s="267" t="s">
        <v>44</v>
      </c>
      <c r="G358" s="277">
        <v>227</v>
      </c>
      <c r="H358" s="268">
        <v>8.18</v>
      </c>
      <c r="I358" s="287">
        <f>0.65+0.82</f>
        <v>1.47</v>
      </c>
      <c r="J358" s="268">
        <f t="shared" ref="J358:J389" si="126">I358*(1+$M$9)</f>
        <v>1.86</v>
      </c>
      <c r="K358" s="292">
        <f>H358-I358</f>
        <v>6.71</v>
      </c>
      <c r="L358" s="268">
        <f t="shared" ref="L358:L389" si="127">K358*(1+$M$9)</f>
        <v>8.51</v>
      </c>
      <c r="M358" s="268">
        <f t="shared" ref="M358:M389" si="128">L358+J358</f>
        <v>10.37</v>
      </c>
      <c r="N358" s="268">
        <f t="shared" ref="N358:N389" si="129">J358*G358</f>
        <v>422.22</v>
      </c>
      <c r="O358" s="268">
        <f t="shared" ref="O358:O389" si="130">L358*G358</f>
        <v>1931.77</v>
      </c>
      <c r="P358" s="268">
        <f t="shared" ref="P358:P389" si="131">O358+N358</f>
        <v>2353.9899999999998</v>
      </c>
      <c r="Q358" s="269">
        <f t="shared" ref="Q358:Q389" si="132">P358/$O$485</f>
        <v>8.9999999999999998E-4</v>
      </c>
      <c r="R358" s="44"/>
      <c r="S358" s="49">
        <f t="shared" si="124"/>
        <v>1856.86</v>
      </c>
      <c r="T358" s="44"/>
      <c r="U358" s="44"/>
      <c r="V358" s="44"/>
      <c r="W358" s="44"/>
      <c r="X358" s="44"/>
      <c r="Y358" s="44"/>
      <c r="Z358" s="44"/>
      <c r="AA358" s="44"/>
      <c r="AB358" s="44"/>
      <c r="AC358" s="44"/>
      <c r="AD358" s="44"/>
      <c r="AE358" s="44"/>
      <c r="AF358" s="44"/>
      <c r="AG358" s="44"/>
      <c r="AH358" s="44"/>
      <c r="AI358" s="44"/>
      <c r="AJ358" s="44"/>
      <c r="AK358" s="44"/>
      <c r="AL358" s="44"/>
    </row>
    <row r="359" spans="1:38" x14ac:dyDescent="0.25">
      <c r="A359" s="55"/>
      <c r="B359" s="265" t="s">
        <v>1091</v>
      </c>
      <c r="C359" s="266" t="s">
        <v>694</v>
      </c>
      <c r="D359" s="265" t="s">
        <v>51</v>
      </c>
      <c r="E359" s="265" t="s">
        <v>695</v>
      </c>
      <c r="F359" s="267" t="s">
        <v>44</v>
      </c>
      <c r="G359" s="277">
        <v>227</v>
      </c>
      <c r="H359" s="268">
        <v>8.18</v>
      </c>
      <c r="I359" s="287">
        <f>0.65+0.82</f>
        <v>1.47</v>
      </c>
      <c r="J359" s="268">
        <f t="shared" si="126"/>
        <v>1.86</v>
      </c>
      <c r="K359" s="292">
        <f>H359-I359</f>
        <v>6.71</v>
      </c>
      <c r="L359" s="268">
        <f t="shared" si="127"/>
        <v>8.51</v>
      </c>
      <c r="M359" s="268">
        <f t="shared" si="128"/>
        <v>10.37</v>
      </c>
      <c r="N359" s="268">
        <f t="shared" si="129"/>
        <v>422.22</v>
      </c>
      <c r="O359" s="268">
        <f t="shared" si="130"/>
        <v>1931.77</v>
      </c>
      <c r="P359" s="268">
        <f t="shared" si="131"/>
        <v>2353.9899999999998</v>
      </c>
      <c r="Q359" s="269">
        <f t="shared" si="132"/>
        <v>8.9999999999999998E-4</v>
      </c>
      <c r="R359" s="44"/>
      <c r="S359" s="49">
        <f t="shared" si="124"/>
        <v>1856.86</v>
      </c>
      <c r="T359" s="44"/>
      <c r="U359" s="44"/>
      <c r="V359" s="44"/>
      <c r="W359" s="44"/>
      <c r="X359" s="44"/>
      <c r="Y359" s="44"/>
      <c r="Z359" s="44"/>
      <c r="AA359" s="44"/>
      <c r="AB359" s="44"/>
      <c r="AC359" s="44"/>
      <c r="AD359" s="44"/>
      <c r="AE359" s="44"/>
      <c r="AF359" s="44"/>
      <c r="AG359" s="44"/>
      <c r="AH359" s="44"/>
      <c r="AI359" s="44"/>
      <c r="AJ359" s="44"/>
      <c r="AK359" s="44"/>
      <c r="AL359" s="44"/>
    </row>
    <row r="360" spans="1:38" ht="27.6" x14ac:dyDescent="0.25">
      <c r="A360" s="55"/>
      <c r="B360" s="265" t="s">
        <v>1092</v>
      </c>
      <c r="C360" s="266" t="s">
        <v>696</v>
      </c>
      <c r="D360" s="265" t="s">
        <v>40</v>
      </c>
      <c r="E360" s="265" t="s">
        <v>697</v>
      </c>
      <c r="F360" s="267" t="s">
        <v>44</v>
      </c>
      <c r="G360" s="277">
        <v>39</v>
      </c>
      <c r="H360" s="268">
        <f>I360+K360</f>
        <v>30.83</v>
      </c>
      <c r="I360" s="287">
        <v>15.09</v>
      </c>
      <c r="J360" s="268">
        <f t="shared" si="126"/>
        <v>19.14</v>
      </c>
      <c r="K360" s="292">
        <v>15.74</v>
      </c>
      <c r="L360" s="268">
        <f t="shared" si="127"/>
        <v>19.97</v>
      </c>
      <c r="M360" s="268">
        <f t="shared" si="128"/>
        <v>39.11</v>
      </c>
      <c r="N360" s="268">
        <f t="shared" si="129"/>
        <v>746.46</v>
      </c>
      <c r="O360" s="268">
        <f t="shared" si="130"/>
        <v>778.83</v>
      </c>
      <c r="P360" s="268">
        <f t="shared" si="131"/>
        <v>1525.29</v>
      </c>
      <c r="Q360" s="269">
        <f t="shared" si="132"/>
        <v>5.9999999999999995E-4</v>
      </c>
      <c r="R360" s="44"/>
      <c r="S360" s="49">
        <f t="shared" si="124"/>
        <v>1202.3699999999999</v>
      </c>
      <c r="T360" s="44"/>
      <c r="U360" s="44"/>
      <c r="V360" s="44"/>
      <c r="W360" s="44"/>
      <c r="X360" s="44"/>
      <c r="Y360" s="44"/>
      <c r="Z360" s="44"/>
      <c r="AA360" s="44"/>
      <c r="AB360" s="44"/>
      <c r="AC360" s="44"/>
      <c r="AD360" s="44"/>
      <c r="AE360" s="44"/>
      <c r="AF360" s="44"/>
      <c r="AG360" s="44"/>
      <c r="AH360" s="44"/>
      <c r="AI360" s="44"/>
      <c r="AJ360" s="44"/>
      <c r="AK360" s="44"/>
      <c r="AL360" s="44"/>
    </row>
    <row r="361" spans="1:38" x14ac:dyDescent="0.25">
      <c r="A361" s="55"/>
      <c r="B361" s="265" t="s">
        <v>1093</v>
      </c>
      <c r="C361" s="266" t="s">
        <v>1518</v>
      </c>
      <c r="D361" s="265" t="s">
        <v>51</v>
      </c>
      <c r="E361" s="265" t="s">
        <v>1519</v>
      </c>
      <c r="F361" s="267" t="s">
        <v>44</v>
      </c>
      <c r="G361" s="277">
        <v>21</v>
      </c>
      <c r="H361" s="268">
        <v>19.23</v>
      </c>
      <c r="I361" s="287">
        <f>2.75+3.49</f>
        <v>6.24</v>
      </c>
      <c r="J361" s="268">
        <f t="shared" si="126"/>
        <v>7.92</v>
      </c>
      <c r="K361" s="292">
        <f>H361-I361</f>
        <v>12.99</v>
      </c>
      <c r="L361" s="268">
        <f t="shared" si="127"/>
        <v>16.48</v>
      </c>
      <c r="M361" s="268">
        <f t="shared" si="128"/>
        <v>24.4</v>
      </c>
      <c r="N361" s="268">
        <f t="shared" si="129"/>
        <v>166.32</v>
      </c>
      <c r="O361" s="268">
        <f t="shared" si="130"/>
        <v>346.08</v>
      </c>
      <c r="P361" s="268">
        <f t="shared" si="131"/>
        <v>512.4</v>
      </c>
      <c r="Q361" s="269">
        <f t="shared" si="132"/>
        <v>2.0000000000000001E-4</v>
      </c>
      <c r="R361" s="44"/>
      <c r="S361" s="49">
        <f t="shared" si="124"/>
        <v>403.83</v>
      </c>
      <c r="T361" s="44"/>
      <c r="U361" s="44"/>
      <c r="V361" s="44"/>
      <c r="W361" s="44"/>
      <c r="X361" s="44"/>
      <c r="Y361" s="44"/>
      <c r="Z361" s="44"/>
      <c r="AA361" s="44"/>
      <c r="AB361" s="44"/>
      <c r="AC361" s="44"/>
      <c r="AD361" s="44"/>
      <c r="AE361" s="44"/>
      <c r="AF361" s="44"/>
      <c r="AG361" s="44"/>
      <c r="AH361" s="44"/>
      <c r="AI361" s="44"/>
      <c r="AJ361" s="44"/>
      <c r="AK361" s="44"/>
      <c r="AL361" s="44"/>
    </row>
    <row r="362" spans="1:38" ht="27.6" x14ac:dyDescent="0.25">
      <c r="A362" s="55"/>
      <c r="B362" s="265" t="s">
        <v>1094</v>
      </c>
      <c r="C362" s="266" t="s">
        <v>385</v>
      </c>
      <c r="D362" s="265" t="s">
        <v>40</v>
      </c>
      <c r="E362" s="265" t="s">
        <v>386</v>
      </c>
      <c r="F362" s="267" t="s">
        <v>44</v>
      </c>
      <c r="G362" s="277">
        <v>15</v>
      </c>
      <c r="H362" s="268">
        <f t="shared" ref="H362:H368" si="133">I362+K362</f>
        <v>34.89</v>
      </c>
      <c r="I362" s="287">
        <v>16.48</v>
      </c>
      <c r="J362" s="268">
        <f t="shared" si="126"/>
        <v>20.91</v>
      </c>
      <c r="K362" s="292">
        <v>18.41</v>
      </c>
      <c r="L362" s="268">
        <f t="shared" si="127"/>
        <v>23.36</v>
      </c>
      <c r="M362" s="268">
        <f t="shared" si="128"/>
        <v>44.27</v>
      </c>
      <c r="N362" s="268">
        <f t="shared" si="129"/>
        <v>313.64999999999998</v>
      </c>
      <c r="O362" s="268">
        <f t="shared" si="130"/>
        <v>350.4</v>
      </c>
      <c r="P362" s="268">
        <f t="shared" si="131"/>
        <v>664.05</v>
      </c>
      <c r="Q362" s="269">
        <f t="shared" si="132"/>
        <v>2.9999999999999997E-4</v>
      </c>
      <c r="R362" s="44"/>
      <c r="S362" s="49">
        <f t="shared" si="124"/>
        <v>523.35</v>
      </c>
      <c r="T362" s="44"/>
      <c r="U362" s="44"/>
      <c r="V362" s="44"/>
      <c r="W362" s="44"/>
      <c r="X362" s="44"/>
      <c r="Y362" s="44"/>
      <c r="Z362" s="44"/>
      <c r="AA362" s="44"/>
      <c r="AB362" s="44"/>
      <c r="AC362" s="44"/>
      <c r="AD362" s="44"/>
      <c r="AE362" s="44"/>
      <c r="AF362" s="44"/>
      <c r="AG362" s="44"/>
      <c r="AH362" s="44"/>
      <c r="AI362" s="44"/>
      <c r="AJ362" s="44"/>
      <c r="AK362" s="44"/>
      <c r="AL362" s="44"/>
    </row>
    <row r="363" spans="1:38" ht="27.6" x14ac:dyDescent="0.25">
      <c r="A363" s="55"/>
      <c r="B363" s="265" t="s">
        <v>1095</v>
      </c>
      <c r="C363" s="266" t="s">
        <v>1520</v>
      </c>
      <c r="D363" s="265" t="s">
        <v>40</v>
      </c>
      <c r="E363" s="265" t="s">
        <v>1521</v>
      </c>
      <c r="F363" s="267" t="s">
        <v>44</v>
      </c>
      <c r="G363" s="277">
        <v>2</v>
      </c>
      <c r="H363" s="268">
        <f t="shared" si="133"/>
        <v>69.569999999999993</v>
      </c>
      <c r="I363" s="287">
        <v>31.15</v>
      </c>
      <c r="J363" s="268">
        <f t="shared" si="126"/>
        <v>39.520000000000003</v>
      </c>
      <c r="K363" s="292">
        <v>38.42</v>
      </c>
      <c r="L363" s="268">
        <f t="shared" si="127"/>
        <v>48.74</v>
      </c>
      <c r="M363" s="268">
        <f t="shared" si="128"/>
        <v>88.26</v>
      </c>
      <c r="N363" s="268">
        <f t="shared" si="129"/>
        <v>79.040000000000006</v>
      </c>
      <c r="O363" s="268">
        <f t="shared" si="130"/>
        <v>97.48</v>
      </c>
      <c r="P363" s="268">
        <f t="shared" si="131"/>
        <v>176.52</v>
      </c>
      <c r="Q363" s="269">
        <f t="shared" si="132"/>
        <v>1E-4</v>
      </c>
      <c r="R363" s="44"/>
      <c r="S363" s="49">
        <f t="shared" si="124"/>
        <v>139.13999999999999</v>
      </c>
      <c r="T363" s="44"/>
      <c r="U363" s="44"/>
      <c r="V363" s="44"/>
      <c r="W363" s="44"/>
      <c r="X363" s="44"/>
      <c r="Y363" s="44"/>
      <c r="Z363" s="44"/>
      <c r="AA363" s="44"/>
      <c r="AB363" s="44"/>
      <c r="AC363" s="44"/>
      <c r="AD363" s="44"/>
      <c r="AE363" s="44"/>
      <c r="AF363" s="44"/>
      <c r="AG363" s="44"/>
      <c r="AH363" s="44"/>
      <c r="AI363" s="44"/>
      <c r="AJ363" s="44"/>
      <c r="AK363" s="44"/>
      <c r="AL363" s="44"/>
    </row>
    <row r="364" spans="1:38" ht="27.6" customHeight="1" x14ac:dyDescent="0.25">
      <c r="A364" s="55"/>
      <c r="B364" s="265" t="s">
        <v>1096</v>
      </c>
      <c r="C364" s="266" t="s">
        <v>1522</v>
      </c>
      <c r="D364" s="265" t="s">
        <v>40</v>
      </c>
      <c r="E364" s="265" t="s">
        <v>1523</v>
      </c>
      <c r="F364" s="267" t="s">
        <v>44</v>
      </c>
      <c r="G364" s="277">
        <v>1</v>
      </c>
      <c r="H364" s="268">
        <f t="shared" si="133"/>
        <v>48.7</v>
      </c>
      <c r="I364" s="287">
        <v>22.26</v>
      </c>
      <c r="J364" s="268">
        <f t="shared" si="126"/>
        <v>28.24</v>
      </c>
      <c r="K364" s="292">
        <v>26.44</v>
      </c>
      <c r="L364" s="268">
        <f t="shared" si="127"/>
        <v>33.54</v>
      </c>
      <c r="M364" s="268">
        <f t="shared" si="128"/>
        <v>61.78</v>
      </c>
      <c r="N364" s="268">
        <f t="shared" si="129"/>
        <v>28.24</v>
      </c>
      <c r="O364" s="268">
        <f t="shared" si="130"/>
        <v>33.54</v>
      </c>
      <c r="P364" s="268">
        <f t="shared" si="131"/>
        <v>61.78</v>
      </c>
      <c r="Q364" s="269">
        <f t="shared" si="132"/>
        <v>0</v>
      </c>
      <c r="R364" s="44"/>
      <c r="S364" s="49">
        <f t="shared" si="124"/>
        <v>48.7</v>
      </c>
      <c r="T364" s="44"/>
      <c r="U364" s="44"/>
      <c r="V364" s="44"/>
      <c r="W364" s="44"/>
      <c r="X364" s="44"/>
      <c r="Y364" s="44"/>
      <c r="Z364" s="44"/>
      <c r="AA364" s="44"/>
      <c r="AB364" s="44"/>
      <c r="AC364" s="44"/>
      <c r="AD364" s="44"/>
      <c r="AE364" s="44"/>
      <c r="AF364" s="44"/>
      <c r="AG364" s="44"/>
      <c r="AH364" s="44"/>
      <c r="AI364" s="44"/>
      <c r="AJ364" s="44"/>
      <c r="AK364" s="44"/>
      <c r="AL364" s="44"/>
    </row>
    <row r="365" spans="1:38" ht="27.6" x14ac:dyDescent="0.25">
      <c r="A365" s="55"/>
      <c r="B365" s="265" t="s">
        <v>1099</v>
      </c>
      <c r="C365" s="266">
        <v>92002</v>
      </c>
      <c r="D365" s="265" t="s">
        <v>40</v>
      </c>
      <c r="E365" s="265" t="s">
        <v>698</v>
      </c>
      <c r="F365" s="267" t="s">
        <v>44</v>
      </c>
      <c r="G365" s="277">
        <v>112</v>
      </c>
      <c r="H365" s="268">
        <f t="shared" si="133"/>
        <v>39.549999999999997</v>
      </c>
      <c r="I365" s="287">
        <v>19.41</v>
      </c>
      <c r="J365" s="268">
        <f t="shared" si="126"/>
        <v>24.63</v>
      </c>
      <c r="K365" s="292">
        <v>20.14</v>
      </c>
      <c r="L365" s="268">
        <f t="shared" si="127"/>
        <v>25.55</v>
      </c>
      <c r="M365" s="268">
        <f t="shared" si="128"/>
        <v>50.18</v>
      </c>
      <c r="N365" s="268">
        <f t="shared" si="129"/>
        <v>2758.56</v>
      </c>
      <c r="O365" s="268">
        <f t="shared" si="130"/>
        <v>2861.6</v>
      </c>
      <c r="P365" s="268">
        <f t="shared" si="131"/>
        <v>5620.16</v>
      </c>
      <c r="Q365" s="269">
        <f t="shared" si="132"/>
        <v>2.2000000000000001E-3</v>
      </c>
      <c r="R365" s="44"/>
      <c r="S365" s="49">
        <f t="shared" si="124"/>
        <v>4429.6000000000004</v>
      </c>
      <c r="T365" s="44"/>
      <c r="U365" s="44"/>
      <c r="V365" s="44"/>
      <c r="W365" s="44"/>
      <c r="X365" s="44"/>
      <c r="Y365" s="44"/>
      <c r="Z365" s="44"/>
      <c r="AA365" s="44"/>
      <c r="AB365" s="44"/>
      <c r="AC365" s="44"/>
      <c r="AD365" s="44"/>
      <c r="AE365" s="44"/>
      <c r="AF365" s="44"/>
      <c r="AG365" s="44"/>
      <c r="AH365" s="44"/>
      <c r="AI365" s="44"/>
      <c r="AJ365" s="44"/>
      <c r="AK365" s="44"/>
      <c r="AL365" s="44"/>
    </row>
    <row r="366" spans="1:38" ht="27.6" x14ac:dyDescent="0.25">
      <c r="A366" s="55"/>
      <c r="B366" s="265" t="s">
        <v>1100</v>
      </c>
      <c r="C366" s="266" t="s">
        <v>699</v>
      </c>
      <c r="D366" s="265" t="s">
        <v>40</v>
      </c>
      <c r="E366" s="265" t="s">
        <v>700</v>
      </c>
      <c r="F366" s="267" t="s">
        <v>44</v>
      </c>
      <c r="G366" s="277">
        <v>6</v>
      </c>
      <c r="H366" s="268">
        <f t="shared" si="133"/>
        <v>43.59</v>
      </c>
      <c r="I366" s="287">
        <v>19.41</v>
      </c>
      <c r="J366" s="268">
        <f t="shared" si="126"/>
        <v>24.63</v>
      </c>
      <c r="K366" s="292">
        <v>24.18</v>
      </c>
      <c r="L366" s="268">
        <f t="shared" si="127"/>
        <v>30.68</v>
      </c>
      <c r="M366" s="268">
        <f t="shared" si="128"/>
        <v>55.31</v>
      </c>
      <c r="N366" s="268">
        <f t="shared" si="129"/>
        <v>147.78</v>
      </c>
      <c r="O366" s="268">
        <f t="shared" si="130"/>
        <v>184.08</v>
      </c>
      <c r="P366" s="268">
        <f t="shared" si="131"/>
        <v>331.86</v>
      </c>
      <c r="Q366" s="269">
        <f t="shared" si="132"/>
        <v>1E-4</v>
      </c>
      <c r="R366" s="44"/>
      <c r="S366" s="49">
        <f t="shared" si="124"/>
        <v>261.54000000000002</v>
      </c>
      <c r="T366" s="44"/>
      <c r="U366" s="44"/>
      <c r="V366" s="44"/>
      <c r="W366" s="44"/>
      <c r="X366" s="44"/>
      <c r="Y366" s="44"/>
      <c r="Z366" s="44"/>
      <c r="AA366" s="44"/>
      <c r="AB366" s="44"/>
      <c r="AC366" s="44"/>
      <c r="AD366" s="44"/>
      <c r="AE366" s="44"/>
      <c r="AF366" s="44"/>
      <c r="AG366" s="44"/>
      <c r="AH366" s="44"/>
      <c r="AI366" s="44"/>
      <c r="AJ366" s="44"/>
      <c r="AK366" s="44"/>
      <c r="AL366" s="44"/>
    </row>
    <row r="367" spans="1:38" ht="27.6" x14ac:dyDescent="0.25">
      <c r="A367" s="55"/>
      <c r="B367" s="265" t="s">
        <v>1101</v>
      </c>
      <c r="C367" s="266" t="s">
        <v>701</v>
      </c>
      <c r="D367" s="265" t="s">
        <v>40</v>
      </c>
      <c r="E367" s="265" t="s">
        <v>702</v>
      </c>
      <c r="F367" s="267" t="s">
        <v>44</v>
      </c>
      <c r="G367" s="277">
        <v>46</v>
      </c>
      <c r="H367" s="268">
        <f t="shared" si="133"/>
        <v>21.13</v>
      </c>
      <c r="I367" s="287">
        <v>10.76</v>
      </c>
      <c r="J367" s="268">
        <f t="shared" si="126"/>
        <v>13.65</v>
      </c>
      <c r="K367" s="292">
        <v>10.37</v>
      </c>
      <c r="L367" s="268">
        <f t="shared" si="127"/>
        <v>13.16</v>
      </c>
      <c r="M367" s="268">
        <f t="shared" si="128"/>
        <v>26.81</v>
      </c>
      <c r="N367" s="268">
        <f t="shared" si="129"/>
        <v>627.9</v>
      </c>
      <c r="O367" s="268">
        <f t="shared" si="130"/>
        <v>605.36</v>
      </c>
      <c r="P367" s="268">
        <f t="shared" si="131"/>
        <v>1233.26</v>
      </c>
      <c r="Q367" s="269">
        <f t="shared" si="132"/>
        <v>5.0000000000000001E-4</v>
      </c>
      <c r="R367" s="44"/>
      <c r="S367" s="49">
        <f t="shared" si="124"/>
        <v>971.98</v>
      </c>
      <c r="T367" s="44"/>
      <c r="U367" s="44"/>
      <c r="V367" s="44"/>
      <c r="W367" s="44"/>
      <c r="X367" s="44"/>
      <c r="Y367" s="44"/>
      <c r="Z367" s="44"/>
      <c r="AA367" s="44"/>
      <c r="AB367" s="44"/>
      <c r="AC367" s="44"/>
      <c r="AD367" s="44"/>
      <c r="AE367" s="44"/>
      <c r="AF367" s="44"/>
      <c r="AG367" s="44"/>
      <c r="AH367" s="44"/>
      <c r="AI367" s="44"/>
      <c r="AJ367" s="44"/>
      <c r="AK367" s="44"/>
      <c r="AL367" s="44"/>
    </row>
    <row r="368" spans="1:38" ht="27.6" x14ac:dyDescent="0.25">
      <c r="A368" s="55"/>
      <c r="B368" s="265" t="s">
        <v>1305</v>
      </c>
      <c r="C368" s="266" t="s">
        <v>703</v>
      </c>
      <c r="D368" s="265" t="s">
        <v>40</v>
      </c>
      <c r="E368" s="265" t="s">
        <v>704</v>
      </c>
      <c r="F368" s="267" t="s">
        <v>44</v>
      </c>
      <c r="G368" s="277">
        <v>15</v>
      </c>
      <c r="H368" s="268">
        <f t="shared" si="133"/>
        <v>23.15</v>
      </c>
      <c r="I368" s="287">
        <v>10.75</v>
      </c>
      <c r="J368" s="268">
        <f t="shared" si="126"/>
        <v>13.64</v>
      </c>
      <c r="K368" s="292">
        <v>12.4</v>
      </c>
      <c r="L368" s="268">
        <f t="shared" si="127"/>
        <v>15.73</v>
      </c>
      <c r="M368" s="268">
        <f t="shared" si="128"/>
        <v>29.37</v>
      </c>
      <c r="N368" s="268">
        <f t="shared" si="129"/>
        <v>204.6</v>
      </c>
      <c r="O368" s="268">
        <f t="shared" si="130"/>
        <v>235.95</v>
      </c>
      <c r="P368" s="268">
        <f t="shared" si="131"/>
        <v>440.55</v>
      </c>
      <c r="Q368" s="269">
        <f t="shared" si="132"/>
        <v>2.0000000000000001E-4</v>
      </c>
      <c r="R368" s="44"/>
      <c r="S368" s="49">
        <f t="shared" si="124"/>
        <v>347.25</v>
      </c>
      <c r="T368" s="44"/>
      <c r="U368" s="44"/>
      <c r="V368" s="44"/>
      <c r="W368" s="44"/>
      <c r="X368" s="44"/>
      <c r="Y368" s="44"/>
      <c r="Z368" s="44"/>
      <c r="AA368" s="44"/>
      <c r="AB368" s="44"/>
      <c r="AC368" s="44"/>
      <c r="AD368" s="44"/>
      <c r="AE368" s="44"/>
      <c r="AF368" s="44"/>
      <c r="AG368" s="44"/>
      <c r="AH368" s="44"/>
      <c r="AI368" s="44"/>
      <c r="AJ368" s="44"/>
      <c r="AK368" s="44"/>
      <c r="AL368" s="44"/>
    </row>
    <row r="369" spans="1:38" x14ac:dyDescent="0.25">
      <c r="A369" s="55"/>
      <c r="B369" s="265" t="s">
        <v>1306</v>
      </c>
      <c r="C369" s="266" t="s">
        <v>1524</v>
      </c>
      <c r="D369" s="265" t="s">
        <v>51</v>
      </c>
      <c r="E369" s="265" t="s">
        <v>1525</v>
      </c>
      <c r="F369" s="267" t="s">
        <v>44</v>
      </c>
      <c r="G369" s="277">
        <v>1</v>
      </c>
      <c r="H369" s="268">
        <v>161.69</v>
      </c>
      <c r="I369" s="287">
        <f>39.75+50.47</f>
        <v>90.22</v>
      </c>
      <c r="J369" s="268">
        <f t="shared" si="126"/>
        <v>114.46</v>
      </c>
      <c r="K369" s="292">
        <f>H369-I369</f>
        <v>71.47</v>
      </c>
      <c r="L369" s="268">
        <f t="shared" si="127"/>
        <v>90.67</v>
      </c>
      <c r="M369" s="268">
        <f t="shared" si="128"/>
        <v>205.13</v>
      </c>
      <c r="N369" s="268">
        <f t="shared" si="129"/>
        <v>114.46</v>
      </c>
      <c r="O369" s="268">
        <f t="shared" si="130"/>
        <v>90.67</v>
      </c>
      <c r="P369" s="268">
        <f t="shared" si="131"/>
        <v>205.13</v>
      </c>
      <c r="Q369" s="269">
        <f t="shared" si="132"/>
        <v>1E-4</v>
      </c>
      <c r="R369" s="44"/>
      <c r="S369" s="49">
        <f t="shared" si="124"/>
        <v>161.69</v>
      </c>
      <c r="T369" s="44"/>
      <c r="U369" s="44"/>
      <c r="V369" s="44"/>
      <c r="W369" s="44"/>
      <c r="X369" s="44"/>
      <c r="Y369" s="44"/>
      <c r="Z369" s="44"/>
      <c r="AA369" s="44"/>
      <c r="AB369" s="44"/>
      <c r="AC369" s="44"/>
      <c r="AD369" s="44"/>
      <c r="AE369" s="44"/>
      <c r="AF369" s="44"/>
      <c r="AG369" s="44"/>
      <c r="AH369" s="44"/>
      <c r="AI369" s="44"/>
      <c r="AJ369" s="44"/>
      <c r="AK369" s="44"/>
      <c r="AL369" s="44"/>
    </row>
    <row r="370" spans="1:38" ht="27.6" x14ac:dyDescent="0.25">
      <c r="A370" s="55"/>
      <c r="B370" s="265" t="s">
        <v>1307</v>
      </c>
      <c r="C370" s="266" t="s">
        <v>1526</v>
      </c>
      <c r="D370" s="265" t="s">
        <v>146</v>
      </c>
      <c r="E370" s="265" t="s">
        <v>1527</v>
      </c>
      <c r="F370" s="267" t="s">
        <v>168</v>
      </c>
      <c r="G370" s="277">
        <v>2</v>
      </c>
      <c r="H370" s="268">
        <v>299.64999999999998</v>
      </c>
      <c r="I370" s="287">
        <f>3.75+3.9+19.13+13.65</f>
        <v>40.43</v>
      </c>
      <c r="J370" s="268">
        <f t="shared" si="126"/>
        <v>51.29</v>
      </c>
      <c r="K370" s="292">
        <f>H370-I370</f>
        <v>259.22000000000003</v>
      </c>
      <c r="L370" s="268">
        <f t="shared" si="127"/>
        <v>328.87</v>
      </c>
      <c r="M370" s="268">
        <f t="shared" si="128"/>
        <v>380.16</v>
      </c>
      <c r="N370" s="268">
        <f t="shared" si="129"/>
        <v>102.58</v>
      </c>
      <c r="O370" s="268">
        <f t="shared" si="130"/>
        <v>657.74</v>
      </c>
      <c r="P370" s="268">
        <f t="shared" si="131"/>
        <v>760.32</v>
      </c>
      <c r="Q370" s="269">
        <f t="shared" si="132"/>
        <v>2.9999999999999997E-4</v>
      </c>
      <c r="R370" s="44"/>
      <c r="S370" s="49">
        <f t="shared" si="124"/>
        <v>599.29999999999995</v>
      </c>
      <c r="T370" s="44"/>
      <c r="U370" s="44"/>
      <c r="V370" s="44"/>
      <c r="W370" s="44"/>
      <c r="X370" s="44"/>
      <c r="Y370" s="44"/>
      <c r="Z370" s="44"/>
      <c r="AA370" s="44"/>
      <c r="AB370" s="44"/>
      <c r="AC370" s="44"/>
      <c r="AD370" s="44"/>
      <c r="AE370" s="44"/>
      <c r="AF370" s="44"/>
      <c r="AG370" s="44"/>
      <c r="AH370" s="44"/>
      <c r="AI370" s="44"/>
      <c r="AJ370" s="44"/>
      <c r="AK370" s="44"/>
      <c r="AL370" s="44"/>
    </row>
    <row r="371" spans="1:38" ht="27.6" x14ac:dyDescent="0.25">
      <c r="A371" s="55"/>
      <c r="B371" s="265" t="s">
        <v>1308</v>
      </c>
      <c r="C371" s="266" t="s">
        <v>1528</v>
      </c>
      <c r="D371" s="265" t="s">
        <v>40</v>
      </c>
      <c r="E371" s="265" t="s">
        <v>1529</v>
      </c>
      <c r="F371" s="267" t="s">
        <v>44</v>
      </c>
      <c r="G371" s="277">
        <v>2</v>
      </c>
      <c r="H371" s="268">
        <f t="shared" ref="H371:H380" si="134">I371+K371</f>
        <v>186.06</v>
      </c>
      <c r="I371" s="287">
        <v>26.53</v>
      </c>
      <c r="J371" s="268">
        <f t="shared" si="126"/>
        <v>33.659999999999997</v>
      </c>
      <c r="K371" s="292">
        <v>159.53</v>
      </c>
      <c r="L371" s="268">
        <f t="shared" si="127"/>
        <v>202.4</v>
      </c>
      <c r="M371" s="268">
        <f t="shared" si="128"/>
        <v>236.06</v>
      </c>
      <c r="N371" s="268">
        <f t="shared" si="129"/>
        <v>67.319999999999993</v>
      </c>
      <c r="O371" s="268">
        <f t="shared" si="130"/>
        <v>404.8</v>
      </c>
      <c r="P371" s="268">
        <f t="shared" si="131"/>
        <v>472.12</v>
      </c>
      <c r="Q371" s="269">
        <f t="shared" si="132"/>
        <v>2.0000000000000001E-4</v>
      </c>
      <c r="R371" s="44"/>
      <c r="S371" s="49">
        <f t="shared" si="124"/>
        <v>372.12</v>
      </c>
      <c r="T371" s="44"/>
      <c r="U371" s="44"/>
      <c r="V371" s="44"/>
      <c r="W371" s="44"/>
      <c r="X371" s="44"/>
      <c r="Y371" s="44"/>
      <c r="Z371" s="44"/>
      <c r="AA371" s="44"/>
      <c r="AB371" s="44"/>
      <c r="AC371" s="44"/>
      <c r="AD371" s="44"/>
      <c r="AE371" s="44"/>
      <c r="AF371" s="44"/>
      <c r="AG371" s="44"/>
      <c r="AH371" s="44"/>
      <c r="AI371" s="44"/>
      <c r="AJ371" s="44"/>
      <c r="AK371" s="44"/>
      <c r="AL371" s="44"/>
    </row>
    <row r="372" spans="1:38" ht="27.6" x14ac:dyDescent="0.25">
      <c r="A372" s="55"/>
      <c r="B372" s="265" t="s">
        <v>1309</v>
      </c>
      <c r="C372" s="266" t="s">
        <v>878</v>
      </c>
      <c r="D372" s="265" t="s">
        <v>40</v>
      </c>
      <c r="E372" s="265" t="s">
        <v>879</v>
      </c>
      <c r="F372" s="267" t="s">
        <v>44</v>
      </c>
      <c r="G372" s="277">
        <v>13</v>
      </c>
      <c r="H372" s="268">
        <f t="shared" si="134"/>
        <v>14.32</v>
      </c>
      <c r="I372" s="287">
        <v>1.17</v>
      </c>
      <c r="J372" s="268">
        <f t="shared" si="126"/>
        <v>1.48</v>
      </c>
      <c r="K372" s="292">
        <v>13.15</v>
      </c>
      <c r="L372" s="268">
        <f t="shared" si="127"/>
        <v>16.68</v>
      </c>
      <c r="M372" s="268">
        <f t="shared" si="128"/>
        <v>18.16</v>
      </c>
      <c r="N372" s="268">
        <f t="shared" si="129"/>
        <v>19.239999999999998</v>
      </c>
      <c r="O372" s="268">
        <f t="shared" si="130"/>
        <v>216.84</v>
      </c>
      <c r="P372" s="268">
        <f t="shared" si="131"/>
        <v>236.08</v>
      </c>
      <c r="Q372" s="269">
        <f t="shared" si="132"/>
        <v>1E-4</v>
      </c>
      <c r="R372" s="44"/>
      <c r="S372" s="49">
        <f t="shared" si="124"/>
        <v>186.16</v>
      </c>
      <c r="T372" s="44"/>
      <c r="U372" s="44"/>
      <c r="V372" s="44"/>
      <c r="W372" s="44"/>
      <c r="X372" s="44"/>
      <c r="Y372" s="44"/>
      <c r="Z372" s="44"/>
      <c r="AA372" s="44"/>
      <c r="AB372" s="44"/>
      <c r="AC372" s="44"/>
      <c r="AD372" s="44"/>
      <c r="AE372" s="44"/>
      <c r="AF372" s="44"/>
      <c r="AG372" s="44"/>
      <c r="AH372" s="44"/>
      <c r="AI372" s="44"/>
      <c r="AJ372" s="44"/>
      <c r="AK372" s="44"/>
      <c r="AL372" s="44"/>
    </row>
    <row r="373" spans="1:38" ht="27.6" x14ac:dyDescent="0.25">
      <c r="A373" s="55"/>
      <c r="B373" s="265" t="s">
        <v>1310</v>
      </c>
      <c r="C373" s="266" t="s">
        <v>220</v>
      </c>
      <c r="D373" s="265" t="s">
        <v>40</v>
      </c>
      <c r="E373" s="265" t="s">
        <v>221</v>
      </c>
      <c r="F373" s="267" t="s">
        <v>44</v>
      </c>
      <c r="G373" s="277">
        <v>35</v>
      </c>
      <c r="H373" s="268">
        <f t="shared" si="134"/>
        <v>14.87</v>
      </c>
      <c r="I373" s="287">
        <v>1.59</v>
      </c>
      <c r="J373" s="268">
        <f t="shared" si="126"/>
        <v>2.02</v>
      </c>
      <c r="K373" s="292">
        <v>13.28</v>
      </c>
      <c r="L373" s="268">
        <f t="shared" si="127"/>
        <v>16.850000000000001</v>
      </c>
      <c r="M373" s="268">
        <f t="shared" si="128"/>
        <v>18.87</v>
      </c>
      <c r="N373" s="268">
        <f t="shared" si="129"/>
        <v>70.7</v>
      </c>
      <c r="O373" s="268">
        <f t="shared" si="130"/>
        <v>589.75</v>
      </c>
      <c r="P373" s="268">
        <f t="shared" si="131"/>
        <v>660.45</v>
      </c>
      <c r="Q373" s="269">
        <f t="shared" si="132"/>
        <v>2.9999999999999997E-4</v>
      </c>
      <c r="R373" s="44"/>
      <c r="S373" s="49">
        <f t="shared" si="124"/>
        <v>520.45000000000005</v>
      </c>
      <c r="T373" s="44"/>
      <c r="U373" s="44"/>
      <c r="V373" s="44"/>
      <c r="W373" s="44"/>
      <c r="X373" s="44"/>
      <c r="Y373" s="44"/>
      <c r="Z373" s="44"/>
      <c r="AA373" s="44"/>
      <c r="AB373" s="44"/>
      <c r="AC373" s="44"/>
      <c r="AD373" s="44"/>
      <c r="AE373" s="44"/>
      <c r="AF373" s="44"/>
      <c r="AG373" s="44"/>
      <c r="AH373" s="44"/>
      <c r="AI373" s="44"/>
      <c r="AJ373" s="44"/>
      <c r="AK373" s="44"/>
      <c r="AL373" s="44"/>
    </row>
    <row r="374" spans="1:38" ht="27.6" x14ac:dyDescent="0.25">
      <c r="A374" s="55"/>
      <c r="B374" s="265" t="s">
        <v>1311</v>
      </c>
      <c r="C374" s="266" t="s">
        <v>222</v>
      </c>
      <c r="D374" s="265" t="s">
        <v>40</v>
      </c>
      <c r="E374" s="265" t="s">
        <v>223</v>
      </c>
      <c r="F374" s="267" t="s">
        <v>44</v>
      </c>
      <c r="G374" s="277">
        <v>1</v>
      </c>
      <c r="H374" s="268">
        <f t="shared" si="134"/>
        <v>16.059999999999999</v>
      </c>
      <c r="I374" s="287">
        <v>2.2400000000000002</v>
      </c>
      <c r="J374" s="268">
        <f t="shared" si="126"/>
        <v>2.84</v>
      </c>
      <c r="K374" s="292">
        <v>13.82</v>
      </c>
      <c r="L374" s="268">
        <f t="shared" si="127"/>
        <v>17.53</v>
      </c>
      <c r="M374" s="268">
        <f t="shared" si="128"/>
        <v>20.37</v>
      </c>
      <c r="N374" s="268">
        <f t="shared" si="129"/>
        <v>2.84</v>
      </c>
      <c r="O374" s="268">
        <f t="shared" si="130"/>
        <v>17.53</v>
      </c>
      <c r="P374" s="268">
        <f t="shared" si="131"/>
        <v>20.37</v>
      </c>
      <c r="Q374" s="269">
        <f t="shared" si="132"/>
        <v>0</v>
      </c>
      <c r="R374" s="44"/>
      <c r="S374" s="49">
        <f t="shared" si="124"/>
        <v>16.059999999999999</v>
      </c>
      <c r="T374" s="44"/>
      <c r="U374" s="44"/>
      <c r="V374" s="44"/>
      <c r="W374" s="44"/>
      <c r="X374" s="44"/>
      <c r="Y374" s="44"/>
      <c r="Z374" s="44"/>
      <c r="AA374" s="44"/>
      <c r="AB374" s="44"/>
      <c r="AC374" s="44"/>
      <c r="AD374" s="44"/>
      <c r="AE374" s="44"/>
      <c r="AF374" s="44"/>
      <c r="AG374" s="44"/>
      <c r="AH374" s="44"/>
      <c r="AI374" s="44"/>
      <c r="AJ374" s="44"/>
      <c r="AK374" s="44"/>
      <c r="AL374" s="44"/>
    </row>
    <row r="375" spans="1:38" x14ac:dyDescent="0.25">
      <c r="A375" s="55"/>
      <c r="B375" s="265" t="s">
        <v>1312</v>
      </c>
      <c r="C375" s="266">
        <v>93661</v>
      </c>
      <c r="D375" s="265" t="s">
        <v>40</v>
      </c>
      <c r="E375" s="265" t="s">
        <v>875</v>
      </c>
      <c r="F375" s="267" t="s">
        <v>44</v>
      </c>
      <c r="G375" s="277">
        <v>40</v>
      </c>
      <c r="H375" s="268">
        <f t="shared" si="134"/>
        <v>72.83</v>
      </c>
      <c r="I375" s="287">
        <v>3.21</v>
      </c>
      <c r="J375" s="268">
        <f t="shared" si="126"/>
        <v>4.07</v>
      </c>
      <c r="K375" s="292">
        <v>69.62</v>
      </c>
      <c r="L375" s="268">
        <f t="shared" si="127"/>
        <v>88.33</v>
      </c>
      <c r="M375" s="268">
        <f t="shared" si="128"/>
        <v>92.4</v>
      </c>
      <c r="N375" s="268">
        <f t="shared" si="129"/>
        <v>162.80000000000001</v>
      </c>
      <c r="O375" s="268">
        <f t="shared" si="130"/>
        <v>3533.2</v>
      </c>
      <c r="P375" s="268">
        <f t="shared" si="131"/>
        <v>3696</v>
      </c>
      <c r="Q375" s="269">
        <f t="shared" si="132"/>
        <v>1.5E-3</v>
      </c>
      <c r="R375" s="44"/>
      <c r="S375" s="49">
        <f t="shared" si="124"/>
        <v>2913.2</v>
      </c>
      <c r="T375" s="44"/>
      <c r="U375" s="44"/>
      <c r="V375" s="44"/>
      <c r="W375" s="44"/>
      <c r="X375" s="44"/>
      <c r="Y375" s="44"/>
      <c r="Z375" s="44"/>
      <c r="AA375" s="44"/>
      <c r="AB375" s="44"/>
      <c r="AC375" s="44"/>
      <c r="AD375" s="44"/>
      <c r="AE375" s="44"/>
      <c r="AF375" s="44"/>
      <c r="AG375" s="44"/>
      <c r="AH375" s="44"/>
      <c r="AI375" s="44"/>
      <c r="AJ375" s="44"/>
      <c r="AK375" s="44"/>
      <c r="AL375" s="44"/>
    </row>
    <row r="376" spans="1:38" x14ac:dyDescent="0.25">
      <c r="A376" s="55"/>
      <c r="B376" s="265" t="s">
        <v>1313</v>
      </c>
      <c r="C376" s="266">
        <v>93662</v>
      </c>
      <c r="D376" s="265" t="s">
        <v>40</v>
      </c>
      <c r="E376" s="265" t="s">
        <v>217</v>
      </c>
      <c r="F376" s="267" t="s">
        <v>44</v>
      </c>
      <c r="G376" s="277">
        <v>5</v>
      </c>
      <c r="H376" s="268">
        <f t="shared" si="134"/>
        <v>75.209999999999994</v>
      </c>
      <c r="I376" s="287">
        <v>4.4800000000000004</v>
      </c>
      <c r="J376" s="268">
        <f t="shared" si="126"/>
        <v>5.68</v>
      </c>
      <c r="K376" s="292">
        <v>70.73</v>
      </c>
      <c r="L376" s="268">
        <f t="shared" si="127"/>
        <v>89.74</v>
      </c>
      <c r="M376" s="268">
        <f t="shared" si="128"/>
        <v>95.42</v>
      </c>
      <c r="N376" s="268">
        <f t="shared" si="129"/>
        <v>28.4</v>
      </c>
      <c r="O376" s="268">
        <f t="shared" si="130"/>
        <v>448.7</v>
      </c>
      <c r="P376" s="268">
        <f t="shared" si="131"/>
        <v>477.1</v>
      </c>
      <c r="Q376" s="269">
        <f t="shared" si="132"/>
        <v>2.0000000000000001E-4</v>
      </c>
      <c r="R376" s="44"/>
      <c r="S376" s="49">
        <f t="shared" si="124"/>
        <v>376.05</v>
      </c>
      <c r="T376" s="44"/>
      <c r="U376" s="44"/>
      <c r="V376" s="44"/>
      <c r="W376" s="44"/>
      <c r="X376" s="44"/>
      <c r="Y376" s="44"/>
      <c r="Z376" s="44"/>
      <c r="AA376" s="44"/>
      <c r="AB376" s="44"/>
      <c r="AC376" s="44"/>
      <c r="AD376" s="44"/>
      <c r="AE376" s="44"/>
      <c r="AF376" s="44"/>
      <c r="AG376" s="44"/>
      <c r="AH376" s="44"/>
      <c r="AI376" s="44"/>
      <c r="AJ376" s="44"/>
      <c r="AK376" s="44"/>
      <c r="AL376" s="44"/>
    </row>
    <row r="377" spans="1:38" x14ac:dyDescent="0.25">
      <c r="A377" s="55"/>
      <c r="B377" s="265" t="s">
        <v>1314</v>
      </c>
      <c r="C377" s="266" t="s">
        <v>876</v>
      </c>
      <c r="D377" s="265" t="s">
        <v>40</v>
      </c>
      <c r="E377" s="265" t="s">
        <v>877</v>
      </c>
      <c r="F377" s="267" t="s">
        <v>44</v>
      </c>
      <c r="G377" s="277">
        <v>2</v>
      </c>
      <c r="H377" s="268">
        <f t="shared" si="134"/>
        <v>78.040000000000006</v>
      </c>
      <c r="I377" s="287">
        <v>6.17</v>
      </c>
      <c r="J377" s="268">
        <f t="shared" si="126"/>
        <v>7.83</v>
      </c>
      <c r="K377" s="292">
        <v>71.87</v>
      </c>
      <c r="L377" s="268">
        <f t="shared" si="127"/>
        <v>91.18</v>
      </c>
      <c r="M377" s="268">
        <f t="shared" si="128"/>
        <v>99.01</v>
      </c>
      <c r="N377" s="268">
        <f t="shared" si="129"/>
        <v>15.66</v>
      </c>
      <c r="O377" s="268">
        <f t="shared" si="130"/>
        <v>182.36</v>
      </c>
      <c r="P377" s="268">
        <f t="shared" si="131"/>
        <v>198.02</v>
      </c>
      <c r="Q377" s="269">
        <f t="shared" si="132"/>
        <v>1E-4</v>
      </c>
      <c r="R377" s="44"/>
      <c r="S377" s="49">
        <f t="shared" si="124"/>
        <v>156.08000000000001</v>
      </c>
      <c r="T377" s="44"/>
      <c r="U377" s="44"/>
      <c r="V377" s="44"/>
      <c r="W377" s="44"/>
      <c r="X377" s="44"/>
      <c r="Y377" s="44"/>
      <c r="Z377" s="44"/>
      <c r="AA377" s="44"/>
      <c r="AB377" s="44"/>
      <c r="AC377" s="44"/>
      <c r="AD377" s="44"/>
      <c r="AE377" s="44"/>
      <c r="AF377" s="44"/>
      <c r="AG377" s="44"/>
      <c r="AH377" s="44"/>
      <c r="AI377" s="44"/>
      <c r="AJ377" s="44"/>
      <c r="AK377" s="44"/>
      <c r="AL377" s="44"/>
    </row>
    <row r="378" spans="1:38" x14ac:dyDescent="0.25">
      <c r="A378" s="55"/>
      <c r="B378" s="265" t="s">
        <v>1315</v>
      </c>
      <c r="C378" s="266" t="s">
        <v>1530</v>
      </c>
      <c r="D378" s="265" t="s">
        <v>40</v>
      </c>
      <c r="E378" s="265" t="s">
        <v>1531</v>
      </c>
      <c r="F378" s="267" t="s">
        <v>44</v>
      </c>
      <c r="G378" s="277">
        <v>2</v>
      </c>
      <c r="H378" s="268">
        <f t="shared" si="134"/>
        <v>71.739999999999995</v>
      </c>
      <c r="I378" s="287">
        <v>2.37</v>
      </c>
      <c r="J378" s="268">
        <f t="shared" si="126"/>
        <v>3.01</v>
      </c>
      <c r="K378" s="292">
        <v>69.37</v>
      </c>
      <c r="L378" s="268">
        <f t="shared" si="127"/>
        <v>88.01</v>
      </c>
      <c r="M378" s="268">
        <f t="shared" si="128"/>
        <v>91.02</v>
      </c>
      <c r="N378" s="268">
        <f t="shared" si="129"/>
        <v>6.02</v>
      </c>
      <c r="O378" s="268">
        <f t="shared" si="130"/>
        <v>176.02</v>
      </c>
      <c r="P378" s="268">
        <f t="shared" si="131"/>
        <v>182.04</v>
      </c>
      <c r="Q378" s="269">
        <f t="shared" si="132"/>
        <v>1E-4</v>
      </c>
      <c r="R378" s="44"/>
      <c r="S378" s="49">
        <f t="shared" si="124"/>
        <v>143.47999999999999</v>
      </c>
      <c r="T378" s="44"/>
      <c r="U378" s="44"/>
      <c r="V378" s="44"/>
      <c r="W378" s="44"/>
      <c r="X378" s="44"/>
      <c r="Y378" s="44"/>
      <c r="Z378" s="44"/>
      <c r="AA378" s="44"/>
      <c r="AB378" s="44"/>
      <c r="AC378" s="44"/>
      <c r="AD378" s="44"/>
      <c r="AE378" s="44"/>
      <c r="AF378" s="44"/>
      <c r="AG378" s="44"/>
      <c r="AH378" s="44"/>
      <c r="AI378" s="44"/>
      <c r="AJ378" s="44"/>
      <c r="AK378" s="44"/>
      <c r="AL378" s="44"/>
    </row>
    <row r="379" spans="1:38" x14ac:dyDescent="0.25">
      <c r="A379" s="55"/>
      <c r="B379" s="265" t="s">
        <v>1316</v>
      </c>
      <c r="C379" s="266" t="s">
        <v>874</v>
      </c>
      <c r="D379" s="265" t="s">
        <v>40</v>
      </c>
      <c r="E379" s="265" t="s">
        <v>875</v>
      </c>
      <c r="F379" s="267" t="s">
        <v>44</v>
      </c>
      <c r="G379" s="277">
        <v>40</v>
      </c>
      <c r="H379" s="268">
        <f t="shared" si="134"/>
        <v>72.83</v>
      </c>
      <c r="I379" s="287">
        <v>3.21</v>
      </c>
      <c r="J379" s="268">
        <f t="shared" si="126"/>
        <v>4.07</v>
      </c>
      <c r="K379" s="292">
        <v>69.62</v>
      </c>
      <c r="L379" s="268">
        <f t="shared" si="127"/>
        <v>88.33</v>
      </c>
      <c r="M379" s="268">
        <f t="shared" si="128"/>
        <v>92.4</v>
      </c>
      <c r="N379" s="268">
        <f t="shared" si="129"/>
        <v>162.80000000000001</v>
      </c>
      <c r="O379" s="268">
        <f t="shared" si="130"/>
        <v>3533.2</v>
      </c>
      <c r="P379" s="268">
        <f t="shared" si="131"/>
        <v>3696</v>
      </c>
      <c r="Q379" s="269">
        <f t="shared" si="132"/>
        <v>1.5E-3</v>
      </c>
      <c r="R379" s="44"/>
      <c r="S379" s="49">
        <f t="shared" si="124"/>
        <v>2913.2</v>
      </c>
      <c r="T379" s="44"/>
      <c r="U379" s="44"/>
      <c r="V379" s="44"/>
      <c r="W379" s="44"/>
      <c r="X379" s="44"/>
      <c r="Y379" s="44"/>
      <c r="Z379" s="44"/>
      <c r="AA379" s="44"/>
      <c r="AB379" s="44"/>
      <c r="AC379" s="44"/>
      <c r="AD379" s="44"/>
      <c r="AE379" s="44"/>
      <c r="AF379" s="44"/>
      <c r="AG379" s="44"/>
      <c r="AH379" s="44"/>
      <c r="AI379" s="44"/>
      <c r="AJ379" s="44"/>
      <c r="AK379" s="44"/>
      <c r="AL379" s="44"/>
    </row>
    <row r="380" spans="1:38" x14ac:dyDescent="0.25">
      <c r="A380" s="55"/>
      <c r="B380" s="265" t="s">
        <v>1317</v>
      </c>
      <c r="C380" s="266" t="s">
        <v>218</v>
      </c>
      <c r="D380" s="265" t="s">
        <v>40</v>
      </c>
      <c r="E380" s="265" t="s">
        <v>219</v>
      </c>
      <c r="F380" s="267" t="s">
        <v>44</v>
      </c>
      <c r="G380" s="277">
        <v>3</v>
      </c>
      <c r="H380" s="268">
        <f t="shared" si="134"/>
        <v>81.19</v>
      </c>
      <c r="I380" s="287">
        <v>9.15</v>
      </c>
      <c r="J380" s="268">
        <f t="shared" si="126"/>
        <v>11.61</v>
      </c>
      <c r="K380" s="292">
        <v>72.040000000000006</v>
      </c>
      <c r="L380" s="268">
        <f t="shared" si="127"/>
        <v>91.4</v>
      </c>
      <c r="M380" s="268">
        <f t="shared" si="128"/>
        <v>103.01</v>
      </c>
      <c r="N380" s="268">
        <f t="shared" si="129"/>
        <v>34.83</v>
      </c>
      <c r="O380" s="268">
        <f t="shared" si="130"/>
        <v>274.2</v>
      </c>
      <c r="P380" s="268">
        <f t="shared" si="131"/>
        <v>309.02999999999997</v>
      </c>
      <c r="Q380" s="269">
        <f t="shared" si="132"/>
        <v>1E-4</v>
      </c>
      <c r="R380" s="44"/>
      <c r="S380" s="49">
        <f t="shared" si="124"/>
        <v>243.57</v>
      </c>
      <c r="T380" s="44"/>
      <c r="U380" s="44"/>
      <c r="V380" s="44"/>
      <c r="W380" s="44"/>
      <c r="X380" s="44"/>
      <c r="Y380" s="44"/>
      <c r="Z380" s="44"/>
      <c r="AA380" s="44"/>
      <c r="AB380" s="44"/>
      <c r="AC380" s="44"/>
      <c r="AD380" s="44"/>
      <c r="AE380" s="44"/>
      <c r="AF380" s="44"/>
      <c r="AG380" s="44"/>
      <c r="AH380" s="44"/>
      <c r="AI380" s="44"/>
      <c r="AJ380" s="44"/>
      <c r="AK380" s="44"/>
      <c r="AL380" s="44"/>
    </row>
    <row r="381" spans="1:38" x14ac:dyDescent="0.25">
      <c r="A381" s="55"/>
      <c r="B381" s="265" t="s">
        <v>1318</v>
      </c>
      <c r="C381" s="266" t="s">
        <v>1532</v>
      </c>
      <c r="D381" s="265" t="s">
        <v>146</v>
      </c>
      <c r="E381" s="265" t="s">
        <v>1533</v>
      </c>
      <c r="F381" s="267" t="s">
        <v>168</v>
      </c>
      <c r="G381" s="277">
        <v>2</v>
      </c>
      <c r="H381" s="268">
        <v>83.13</v>
      </c>
      <c r="I381" s="287">
        <f>2.25+2.34+11.48+8.19</f>
        <v>24.26</v>
      </c>
      <c r="J381" s="268">
        <f t="shared" si="126"/>
        <v>30.78</v>
      </c>
      <c r="K381" s="292">
        <f>H381-I381</f>
        <v>58.87</v>
      </c>
      <c r="L381" s="268">
        <f t="shared" si="127"/>
        <v>74.69</v>
      </c>
      <c r="M381" s="268">
        <f t="shared" si="128"/>
        <v>105.47</v>
      </c>
      <c r="N381" s="268">
        <f t="shared" si="129"/>
        <v>61.56</v>
      </c>
      <c r="O381" s="268">
        <f t="shared" si="130"/>
        <v>149.38</v>
      </c>
      <c r="P381" s="268">
        <f t="shared" si="131"/>
        <v>210.94</v>
      </c>
      <c r="Q381" s="269">
        <f t="shared" si="132"/>
        <v>1E-4</v>
      </c>
      <c r="R381" s="44"/>
      <c r="S381" s="49">
        <f t="shared" si="124"/>
        <v>166.26</v>
      </c>
      <c r="T381" s="44"/>
      <c r="U381" s="44"/>
      <c r="V381" s="44"/>
      <c r="W381" s="44"/>
      <c r="X381" s="44"/>
      <c r="Y381" s="44"/>
      <c r="Z381" s="44"/>
      <c r="AA381" s="44"/>
      <c r="AB381" s="44"/>
      <c r="AC381" s="44"/>
      <c r="AD381" s="44"/>
      <c r="AE381" s="44"/>
      <c r="AF381" s="44"/>
      <c r="AG381" s="44"/>
      <c r="AH381" s="44"/>
      <c r="AI381" s="44"/>
      <c r="AJ381" s="44"/>
      <c r="AK381" s="44"/>
      <c r="AL381" s="44"/>
    </row>
    <row r="382" spans="1:38" ht="27.6" x14ac:dyDescent="0.25">
      <c r="A382" s="55"/>
      <c r="B382" s="265" t="s">
        <v>1319</v>
      </c>
      <c r="C382" s="266" t="s">
        <v>705</v>
      </c>
      <c r="D382" s="265" t="s">
        <v>40</v>
      </c>
      <c r="E382" s="265" t="s">
        <v>706</v>
      </c>
      <c r="F382" s="267" t="s">
        <v>44</v>
      </c>
      <c r="G382" s="277">
        <v>2</v>
      </c>
      <c r="H382" s="268">
        <f>I382+K382</f>
        <v>520.39</v>
      </c>
      <c r="I382" s="287">
        <v>44.84</v>
      </c>
      <c r="J382" s="268">
        <f t="shared" si="126"/>
        <v>56.89</v>
      </c>
      <c r="K382" s="292">
        <v>475.55</v>
      </c>
      <c r="L382" s="268">
        <f t="shared" si="127"/>
        <v>603.33000000000004</v>
      </c>
      <c r="M382" s="268">
        <f t="shared" si="128"/>
        <v>660.22</v>
      </c>
      <c r="N382" s="268">
        <f t="shared" si="129"/>
        <v>113.78</v>
      </c>
      <c r="O382" s="268">
        <f t="shared" si="130"/>
        <v>1206.6600000000001</v>
      </c>
      <c r="P382" s="268">
        <f t="shared" si="131"/>
        <v>1320.44</v>
      </c>
      <c r="Q382" s="269">
        <f t="shared" si="132"/>
        <v>5.0000000000000001E-4</v>
      </c>
      <c r="R382" s="44"/>
      <c r="S382" s="49">
        <f t="shared" si="124"/>
        <v>1040.78</v>
      </c>
      <c r="T382" s="44"/>
      <c r="U382" s="44"/>
      <c r="V382" s="44"/>
      <c r="W382" s="44"/>
      <c r="X382" s="44"/>
      <c r="Y382" s="44"/>
      <c r="Z382" s="44"/>
      <c r="AA382" s="44"/>
      <c r="AB382" s="44"/>
      <c r="AC382" s="44"/>
      <c r="AD382" s="44"/>
      <c r="AE382" s="44"/>
      <c r="AF382" s="44"/>
      <c r="AG382" s="44"/>
      <c r="AH382" s="44"/>
      <c r="AI382" s="44"/>
      <c r="AJ382" s="44"/>
      <c r="AK382" s="44"/>
      <c r="AL382" s="44"/>
    </row>
    <row r="383" spans="1:38" ht="27.6" x14ac:dyDescent="0.25">
      <c r="A383" s="55"/>
      <c r="B383" s="265" t="s">
        <v>1320</v>
      </c>
      <c r="C383" s="266" t="s">
        <v>1534</v>
      </c>
      <c r="D383" s="265" t="s">
        <v>584</v>
      </c>
      <c r="E383" s="265" t="s">
        <v>1535</v>
      </c>
      <c r="F383" s="267" t="s">
        <v>585</v>
      </c>
      <c r="G383" s="277">
        <v>1</v>
      </c>
      <c r="H383" s="268">
        <v>504.57</v>
      </c>
      <c r="I383" s="287">
        <v>66.63</v>
      </c>
      <c r="J383" s="268">
        <f t="shared" si="126"/>
        <v>84.53</v>
      </c>
      <c r="K383" s="292">
        <f t="shared" ref="K383:K397" si="135">H383-I383</f>
        <v>437.94</v>
      </c>
      <c r="L383" s="268">
        <f t="shared" si="127"/>
        <v>555.61</v>
      </c>
      <c r="M383" s="268">
        <f t="shared" si="128"/>
        <v>640.14</v>
      </c>
      <c r="N383" s="268">
        <f t="shared" si="129"/>
        <v>84.53</v>
      </c>
      <c r="O383" s="268">
        <f t="shared" si="130"/>
        <v>555.61</v>
      </c>
      <c r="P383" s="268">
        <f t="shared" si="131"/>
        <v>640.14</v>
      </c>
      <c r="Q383" s="269">
        <f t="shared" si="132"/>
        <v>2.9999999999999997E-4</v>
      </c>
      <c r="R383" s="44"/>
      <c r="S383" s="49">
        <f t="shared" si="124"/>
        <v>504.57</v>
      </c>
      <c r="T383" s="44"/>
      <c r="U383" s="44"/>
      <c r="V383" s="44"/>
      <c r="W383" s="44"/>
      <c r="X383" s="44"/>
      <c r="Y383" s="44"/>
      <c r="Z383" s="44"/>
      <c r="AA383" s="44"/>
      <c r="AB383" s="44"/>
      <c r="AC383" s="44"/>
      <c r="AD383" s="44"/>
      <c r="AE383" s="44"/>
      <c r="AF383" s="44"/>
      <c r="AG383" s="44"/>
      <c r="AH383" s="44"/>
      <c r="AI383" s="44"/>
      <c r="AJ383" s="44"/>
      <c r="AK383" s="44"/>
      <c r="AL383" s="44"/>
    </row>
    <row r="384" spans="1:38" x14ac:dyDescent="0.25">
      <c r="A384" s="55"/>
      <c r="B384" s="265" t="s">
        <v>1321</v>
      </c>
      <c r="C384" s="266" t="s">
        <v>707</v>
      </c>
      <c r="D384" s="265" t="s">
        <v>51</v>
      </c>
      <c r="E384" s="265" t="s">
        <v>708</v>
      </c>
      <c r="F384" s="267" t="s">
        <v>44</v>
      </c>
      <c r="G384" s="277">
        <v>18</v>
      </c>
      <c r="H384" s="268">
        <v>302.79000000000002</v>
      </c>
      <c r="I384" s="287">
        <f>6.68+8.49</f>
        <v>15.17</v>
      </c>
      <c r="J384" s="268">
        <f t="shared" si="126"/>
        <v>19.25</v>
      </c>
      <c r="K384" s="292">
        <f t="shared" si="135"/>
        <v>287.62</v>
      </c>
      <c r="L384" s="268">
        <f t="shared" si="127"/>
        <v>364.9</v>
      </c>
      <c r="M384" s="268">
        <f t="shared" si="128"/>
        <v>384.15</v>
      </c>
      <c r="N384" s="268">
        <f t="shared" si="129"/>
        <v>346.5</v>
      </c>
      <c r="O384" s="268">
        <f t="shared" si="130"/>
        <v>6568.2</v>
      </c>
      <c r="P384" s="268">
        <f t="shared" si="131"/>
        <v>6914.7</v>
      </c>
      <c r="Q384" s="269">
        <f t="shared" si="132"/>
        <v>2.7000000000000001E-3</v>
      </c>
      <c r="R384" s="44"/>
      <c r="S384" s="49">
        <f t="shared" si="124"/>
        <v>5450.22</v>
      </c>
      <c r="T384" s="44"/>
      <c r="U384" s="44"/>
      <c r="V384" s="44"/>
      <c r="W384" s="44"/>
      <c r="X384" s="44"/>
      <c r="Y384" s="44"/>
      <c r="Z384" s="44"/>
      <c r="AA384" s="44"/>
      <c r="AB384" s="44"/>
      <c r="AC384" s="44"/>
      <c r="AD384" s="44"/>
      <c r="AE384" s="44"/>
      <c r="AF384" s="44"/>
      <c r="AG384" s="44"/>
      <c r="AH384" s="44"/>
      <c r="AI384" s="44"/>
      <c r="AJ384" s="44"/>
      <c r="AK384" s="44"/>
      <c r="AL384" s="44"/>
    </row>
    <row r="385" spans="1:38" ht="27.6" x14ac:dyDescent="0.25">
      <c r="A385" s="55"/>
      <c r="B385" s="265" t="s">
        <v>1322</v>
      </c>
      <c r="C385" s="266" t="s">
        <v>1125</v>
      </c>
      <c r="D385" s="265" t="s">
        <v>199</v>
      </c>
      <c r="E385" s="265" t="s">
        <v>1126</v>
      </c>
      <c r="F385" s="267" t="s">
        <v>168</v>
      </c>
      <c r="G385" s="277">
        <v>8</v>
      </c>
      <c r="H385" s="268">
        <v>697.22</v>
      </c>
      <c r="I385" s="287">
        <f>9.03+19.69</f>
        <v>28.72</v>
      </c>
      <c r="J385" s="268">
        <f t="shared" si="126"/>
        <v>36.44</v>
      </c>
      <c r="K385" s="292">
        <f t="shared" si="135"/>
        <v>668.5</v>
      </c>
      <c r="L385" s="268">
        <f t="shared" si="127"/>
        <v>848.13</v>
      </c>
      <c r="M385" s="268">
        <f t="shared" si="128"/>
        <v>884.57</v>
      </c>
      <c r="N385" s="268">
        <f t="shared" si="129"/>
        <v>291.52</v>
      </c>
      <c r="O385" s="268">
        <f t="shared" si="130"/>
        <v>6785.04</v>
      </c>
      <c r="P385" s="268">
        <f t="shared" si="131"/>
        <v>7076.56</v>
      </c>
      <c r="Q385" s="269">
        <f t="shared" si="132"/>
        <v>2.8E-3</v>
      </c>
      <c r="R385" s="44"/>
      <c r="S385" s="49">
        <f t="shared" si="124"/>
        <v>5577.76</v>
      </c>
      <c r="T385" s="44"/>
      <c r="U385" s="44"/>
      <c r="V385" s="44"/>
      <c r="W385" s="44"/>
      <c r="X385" s="44"/>
      <c r="Y385" s="44"/>
      <c r="Z385" s="44"/>
      <c r="AA385" s="44"/>
      <c r="AB385" s="44"/>
      <c r="AC385" s="44"/>
      <c r="AD385" s="44"/>
      <c r="AE385" s="44"/>
      <c r="AF385" s="44"/>
      <c r="AG385" s="44"/>
      <c r="AH385" s="44"/>
      <c r="AI385" s="44"/>
      <c r="AJ385" s="44"/>
      <c r="AK385" s="44"/>
      <c r="AL385" s="44"/>
    </row>
    <row r="386" spans="1:38" x14ac:dyDescent="0.25">
      <c r="A386" s="55"/>
      <c r="B386" s="265" t="s">
        <v>1323</v>
      </c>
      <c r="C386" s="266" t="s">
        <v>1536</v>
      </c>
      <c r="D386" s="265" t="s">
        <v>584</v>
      </c>
      <c r="E386" s="265" t="s">
        <v>1537</v>
      </c>
      <c r="F386" s="267" t="s">
        <v>585</v>
      </c>
      <c r="G386" s="277">
        <v>11</v>
      </c>
      <c r="H386" s="268">
        <v>134.9</v>
      </c>
      <c r="I386" s="287">
        <v>26.65</v>
      </c>
      <c r="J386" s="268">
        <f t="shared" si="126"/>
        <v>33.81</v>
      </c>
      <c r="K386" s="292">
        <f t="shared" si="135"/>
        <v>108.25</v>
      </c>
      <c r="L386" s="268">
        <f t="shared" si="127"/>
        <v>137.34</v>
      </c>
      <c r="M386" s="268">
        <f t="shared" si="128"/>
        <v>171.15</v>
      </c>
      <c r="N386" s="268">
        <f t="shared" si="129"/>
        <v>371.91</v>
      </c>
      <c r="O386" s="268">
        <f t="shared" si="130"/>
        <v>1510.74</v>
      </c>
      <c r="P386" s="268">
        <f t="shared" si="131"/>
        <v>1882.65</v>
      </c>
      <c r="Q386" s="269">
        <f t="shared" si="132"/>
        <v>6.9999999999999999E-4</v>
      </c>
      <c r="R386" s="44"/>
      <c r="S386" s="49">
        <f t="shared" si="124"/>
        <v>1483.9</v>
      </c>
      <c r="T386" s="44"/>
      <c r="U386" s="44"/>
      <c r="V386" s="44"/>
      <c r="W386" s="44"/>
      <c r="X386" s="44"/>
      <c r="Y386" s="44"/>
      <c r="Z386" s="44"/>
      <c r="AA386" s="44"/>
      <c r="AB386" s="44"/>
      <c r="AC386" s="44"/>
      <c r="AD386" s="44"/>
      <c r="AE386" s="44"/>
      <c r="AF386" s="44"/>
      <c r="AG386" s="44"/>
      <c r="AH386" s="44"/>
      <c r="AI386" s="44"/>
      <c r="AJ386" s="44"/>
      <c r="AK386" s="44"/>
      <c r="AL386" s="44"/>
    </row>
    <row r="387" spans="1:38" x14ac:dyDescent="0.25">
      <c r="A387" s="55"/>
      <c r="B387" s="265" t="s">
        <v>1324</v>
      </c>
      <c r="C387" s="266" t="s">
        <v>1538</v>
      </c>
      <c r="D387" s="265" t="s">
        <v>584</v>
      </c>
      <c r="E387" s="265" t="s">
        <v>1539</v>
      </c>
      <c r="F387" s="267" t="s">
        <v>585</v>
      </c>
      <c r="G387" s="277">
        <v>4</v>
      </c>
      <c r="H387" s="268">
        <v>146.13</v>
      </c>
      <c r="I387" s="287">
        <v>26.65</v>
      </c>
      <c r="J387" s="268">
        <f t="shared" si="126"/>
        <v>33.81</v>
      </c>
      <c r="K387" s="292">
        <f t="shared" si="135"/>
        <v>119.48</v>
      </c>
      <c r="L387" s="268">
        <f t="shared" si="127"/>
        <v>151.58000000000001</v>
      </c>
      <c r="M387" s="268">
        <f t="shared" si="128"/>
        <v>185.39</v>
      </c>
      <c r="N387" s="268">
        <f t="shared" si="129"/>
        <v>135.24</v>
      </c>
      <c r="O387" s="268">
        <f t="shared" si="130"/>
        <v>606.32000000000005</v>
      </c>
      <c r="P387" s="268">
        <f t="shared" si="131"/>
        <v>741.56</v>
      </c>
      <c r="Q387" s="269">
        <f t="shared" si="132"/>
        <v>2.9999999999999997E-4</v>
      </c>
      <c r="R387" s="44"/>
      <c r="S387" s="49">
        <f t="shared" si="124"/>
        <v>584.52</v>
      </c>
      <c r="T387" s="44"/>
      <c r="U387" s="44"/>
      <c r="V387" s="44"/>
      <c r="W387" s="44"/>
      <c r="X387" s="44"/>
      <c r="Y387" s="44"/>
      <c r="Z387" s="44"/>
      <c r="AA387" s="44"/>
      <c r="AB387" s="44"/>
      <c r="AC387" s="44"/>
      <c r="AD387" s="44"/>
      <c r="AE387" s="44"/>
      <c r="AF387" s="44"/>
      <c r="AG387" s="44"/>
      <c r="AH387" s="44"/>
      <c r="AI387" s="44"/>
      <c r="AJ387" s="44"/>
      <c r="AK387" s="44"/>
      <c r="AL387" s="44"/>
    </row>
    <row r="388" spans="1:38" x14ac:dyDescent="0.25">
      <c r="A388" s="55"/>
      <c r="B388" s="265" t="s">
        <v>1325</v>
      </c>
      <c r="C388" s="266" t="s">
        <v>1540</v>
      </c>
      <c r="D388" s="265" t="s">
        <v>51</v>
      </c>
      <c r="E388" s="265" t="s">
        <v>1541</v>
      </c>
      <c r="F388" s="267" t="s">
        <v>44</v>
      </c>
      <c r="G388" s="277">
        <v>8</v>
      </c>
      <c r="H388" s="268">
        <v>12.19</v>
      </c>
      <c r="I388" s="287">
        <f>2.01+2.55</f>
        <v>4.5599999999999996</v>
      </c>
      <c r="J388" s="268">
        <f t="shared" si="126"/>
        <v>5.79</v>
      </c>
      <c r="K388" s="292">
        <f t="shared" si="135"/>
        <v>7.63</v>
      </c>
      <c r="L388" s="268">
        <f t="shared" si="127"/>
        <v>9.68</v>
      </c>
      <c r="M388" s="268">
        <f t="shared" si="128"/>
        <v>15.47</v>
      </c>
      <c r="N388" s="268">
        <f t="shared" si="129"/>
        <v>46.32</v>
      </c>
      <c r="O388" s="268">
        <f t="shared" si="130"/>
        <v>77.44</v>
      </c>
      <c r="P388" s="268">
        <f t="shared" si="131"/>
        <v>123.76</v>
      </c>
      <c r="Q388" s="269">
        <f t="shared" si="132"/>
        <v>0</v>
      </c>
      <c r="R388" s="44"/>
      <c r="S388" s="49">
        <f t="shared" si="124"/>
        <v>97.52</v>
      </c>
      <c r="T388" s="44"/>
      <c r="U388" s="44"/>
      <c r="V388" s="44"/>
      <c r="W388" s="44"/>
      <c r="X388" s="44"/>
      <c r="Y388" s="44"/>
      <c r="Z388" s="44"/>
      <c r="AA388" s="44"/>
      <c r="AB388" s="44"/>
      <c r="AC388" s="44"/>
      <c r="AD388" s="44"/>
      <c r="AE388" s="44"/>
      <c r="AF388" s="44"/>
      <c r="AG388" s="44"/>
      <c r="AH388" s="44"/>
      <c r="AI388" s="44"/>
      <c r="AJ388" s="44"/>
      <c r="AK388" s="44"/>
      <c r="AL388" s="44"/>
    </row>
    <row r="389" spans="1:38" x14ac:dyDescent="0.25">
      <c r="A389" s="55"/>
      <c r="B389" s="265" t="s">
        <v>1326</v>
      </c>
      <c r="C389" s="266" t="s">
        <v>709</v>
      </c>
      <c r="D389" s="265" t="s">
        <v>51</v>
      </c>
      <c r="E389" s="265" t="s">
        <v>710</v>
      </c>
      <c r="F389" s="267" t="s">
        <v>44</v>
      </c>
      <c r="G389" s="277">
        <v>21</v>
      </c>
      <c r="H389" s="268">
        <v>10.65</v>
      </c>
      <c r="I389" s="287">
        <f>2.02+2.57</f>
        <v>4.59</v>
      </c>
      <c r="J389" s="268">
        <f t="shared" si="126"/>
        <v>5.82</v>
      </c>
      <c r="K389" s="292">
        <f t="shared" si="135"/>
        <v>6.06</v>
      </c>
      <c r="L389" s="268">
        <f t="shared" si="127"/>
        <v>7.69</v>
      </c>
      <c r="M389" s="268">
        <f t="shared" si="128"/>
        <v>13.51</v>
      </c>
      <c r="N389" s="268">
        <f t="shared" si="129"/>
        <v>122.22</v>
      </c>
      <c r="O389" s="268">
        <f t="shared" si="130"/>
        <v>161.49</v>
      </c>
      <c r="P389" s="268">
        <f t="shared" si="131"/>
        <v>283.70999999999998</v>
      </c>
      <c r="Q389" s="269">
        <f t="shared" si="132"/>
        <v>1E-4</v>
      </c>
      <c r="R389" s="44"/>
      <c r="S389" s="49">
        <f t="shared" si="124"/>
        <v>223.65</v>
      </c>
      <c r="T389" s="44"/>
      <c r="U389" s="44"/>
      <c r="V389" s="44"/>
      <c r="W389" s="44"/>
      <c r="X389" s="44"/>
      <c r="Y389" s="44"/>
      <c r="Z389" s="44"/>
      <c r="AA389" s="44"/>
      <c r="AB389" s="44"/>
      <c r="AC389" s="44"/>
      <c r="AD389" s="44"/>
      <c r="AE389" s="44"/>
      <c r="AF389" s="44"/>
      <c r="AG389" s="44"/>
      <c r="AH389" s="44"/>
      <c r="AI389" s="44"/>
      <c r="AJ389" s="44"/>
      <c r="AK389" s="44"/>
      <c r="AL389" s="44"/>
    </row>
    <row r="390" spans="1:38" x14ac:dyDescent="0.25">
      <c r="A390" s="55"/>
      <c r="B390" s="265" t="s">
        <v>1327</v>
      </c>
      <c r="C390" s="266" t="s">
        <v>1542</v>
      </c>
      <c r="D390" s="265" t="s">
        <v>146</v>
      </c>
      <c r="E390" s="265" t="s">
        <v>1543</v>
      </c>
      <c r="F390" s="267" t="s">
        <v>168</v>
      </c>
      <c r="G390" s="277">
        <v>2</v>
      </c>
      <c r="H390" s="268">
        <v>41.98</v>
      </c>
      <c r="I390" s="287">
        <f>0.75+0.78+3.83+2.73</f>
        <v>8.09</v>
      </c>
      <c r="J390" s="268">
        <f t="shared" ref="J390:J421" si="136">I390*(1+$M$9)</f>
        <v>10.26</v>
      </c>
      <c r="K390" s="292">
        <f t="shared" si="135"/>
        <v>33.89</v>
      </c>
      <c r="L390" s="268">
        <f t="shared" ref="L390:L421" si="137">K390*(1+$M$9)</f>
        <v>43</v>
      </c>
      <c r="M390" s="268">
        <f t="shared" ref="M390:M421" si="138">L390+J390</f>
        <v>53.26</v>
      </c>
      <c r="N390" s="268">
        <f t="shared" ref="N390:N414" si="139">J390*G390</f>
        <v>20.52</v>
      </c>
      <c r="O390" s="268">
        <f t="shared" ref="O390:O414" si="140">L390*G390</f>
        <v>86</v>
      </c>
      <c r="P390" s="268">
        <f t="shared" ref="P390:P421" si="141">O390+N390</f>
        <v>106.52</v>
      </c>
      <c r="Q390" s="269">
        <f t="shared" ref="Q390:Q421" si="142">P390/$O$485</f>
        <v>0</v>
      </c>
      <c r="R390" s="44"/>
      <c r="S390" s="49">
        <f t="shared" si="124"/>
        <v>83.96</v>
      </c>
      <c r="T390" s="44"/>
      <c r="U390" s="44"/>
      <c r="V390" s="44"/>
      <c r="W390" s="44"/>
      <c r="X390" s="44"/>
      <c r="Y390" s="44"/>
      <c r="Z390" s="44"/>
      <c r="AA390" s="44"/>
      <c r="AB390" s="44"/>
      <c r="AC390" s="44"/>
      <c r="AD390" s="44"/>
      <c r="AE390" s="44"/>
      <c r="AF390" s="44"/>
      <c r="AG390" s="44"/>
      <c r="AH390" s="44"/>
      <c r="AI390" s="44"/>
      <c r="AJ390" s="44"/>
      <c r="AK390" s="44"/>
      <c r="AL390" s="44"/>
    </row>
    <row r="391" spans="1:38" x14ac:dyDescent="0.25">
      <c r="A391" s="55"/>
      <c r="B391" s="265" t="s">
        <v>1328</v>
      </c>
      <c r="C391" s="266" t="s">
        <v>1127</v>
      </c>
      <c r="D391" s="265" t="s">
        <v>51</v>
      </c>
      <c r="E391" s="265" t="s">
        <v>1128</v>
      </c>
      <c r="F391" s="267" t="s">
        <v>55</v>
      </c>
      <c r="G391" s="277">
        <v>2.2999999999999998</v>
      </c>
      <c r="H391" s="268">
        <v>36.72</v>
      </c>
      <c r="I391" s="287">
        <f>6.68+8.49</f>
        <v>15.17</v>
      </c>
      <c r="J391" s="268">
        <f t="shared" si="136"/>
        <v>19.25</v>
      </c>
      <c r="K391" s="292">
        <f t="shared" si="135"/>
        <v>21.55</v>
      </c>
      <c r="L391" s="268">
        <f t="shared" si="137"/>
        <v>27.34</v>
      </c>
      <c r="M391" s="268">
        <f t="shared" si="138"/>
        <v>46.59</v>
      </c>
      <c r="N391" s="268">
        <f t="shared" si="139"/>
        <v>44.28</v>
      </c>
      <c r="O391" s="268">
        <f t="shared" si="140"/>
        <v>62.88</v>
      </c>
      <c r="P391" s="268">
        <f t="shared" si="141"/>
        <v>107.16</v>
      </c>
      <c r="Q391" s="269">
        <f t="shared" si="142"/>
        <v>0</v>
      </c>
      <c r="R391" s="44"/>
      <c r="S391" s="49">
        <f t="shared" si="124"/>
        <v>84.46</v>
      </c>
      <c r="T391" s="44"/>
      <c r="U391" s="44"/>
      <c r="V391" s="44"/>
      <c r="W391" s="44"/>
      <c r="X391" s="44"/>
      <c r="Y391" s="44"/>
      <c r="Z391" s="44"/>
      <c r="AA391" s="44"/>
      <c r="AB391" s="44"/>
      <c r="AC391" s="44"/>
      <c r="AD391" s="44"/>
      <c r="AE391" s="44"/>
      <c r="AF391" s="44"/>
      <c r="AG391" s="44"/>
      <c r="AH391" s="44"/>
      <c r="AI391" s="44"/>
      <c r="AJ391" s="44"/>
      <c r="AK391" s="44"/>
      <c r="AL391" s="44"/>
    </row>
    <row r="392" spans="1:38" ht="27.6" x14ac:dyDescent="0.25">
      <c r="A392" s="55"/>
      <c r="B392" s="265" t="s">
        <v>1329</v>
      </c>
      <c r="C392" s="266" t="s">
        <v>1544</v>
      </c>
      <c r="D392" s="265" t="s">
        <v>551</v>
      </c>
      <c r="E392" s="265" t="s">
        <v>1545</v>
      </c>
      <c r="F392" s="267" t="s">
        <v>55</v>
      </c>
      <c r="G392" s="277">
        <v>71.599999999999994</v>
      </c>
      <c r="H392" s="268">
        <v>77.709999999999994</v>
      </c>
      <c r="I392" s="287">
        <f>28.75+20.79</f>
        <v>49.54</v>
      </c>
      <c r="J392" s="268">
        <f t="shared" si="136"/>
        <v>62.85</v>
      </c>
      <c r="K392" s="292">
        <f t="shared" si="135"/>
        <v>28.17</v>
      </c>
      <c r="L392" s="268">
        <f t="shared" si="137"/>
        <v>35.74</v>
      </c>
      <c r="M392" s="268">
        <f t="shared" si="138"/>
        <v>98.59</v>
      </c>
      <c r="N392" s="268">
        <f t="shared" si="139"/>
        <v>4500.0600000000004</v>
      </c>
      <c r="O392" s="268">
        <f t="shared" si="140"/>
        <v>2558.98</v>
      </c>
      <c r="P392" s="268">
        <f t="shared" si="141"/>
        <v>7059.04</v>
      </c>
      <c r="Q392" s="269">
        <f t="shared" si="142"/>
        <v>2.8E-3</v>
      </c>
      <c r="R392" s="44"/>
      <c r="S392" s="49">
        <f t="shared" si="124"/>
        <v>5564.04</v>
      </c>
      <c r="T392" s="44"/>
      <c r="U392" s="44"/>
      <c r="V392" s="44"/>
      <c r="W392" s="44"/>
      <c r="X392" s="44"/>
      <c r="Y392" s="44"/>
      <c r="Z392" s="44"/>
      <c r="AA392" s="44"/>
      <c r="AB392" s="44"/>
      <c r="AC392" s="44"/>
      <c r="AD392" s="44"/>
      <c r="AE392" s="44"/>
      <c r="AF392" s="44"/>
      <c r="AG392" s="44"/>
      <c r="AH392" s="44"/>
      <c r="AI392" s="44"/>
      <c r="AJ392" s="44"/>
      <c r="AK392" s="44"/>
      <c r="AL392" s="44"/>
    </row>
    <row r="393" spans="1:38" x14ac:dyDescent="0.25">
      <c r="A393" s="55"/>
      <c r="B393" s="265" t="s">
        <v>1330</v>
      </c>
      <c r="C393" s="266" t="s">
        <v>1546</v>
      </c>
      <c r="D393" s="265" t="s">
        <v>146</v>
      </c>
      <c r="E393" s="265" t="s">
        <v>1547</v>
      </c>
      <c r="F393" s="267" t="s">
        <v>168</v>
      </c>
      <c r="G393" s="277">
        <v>65</v>
      </c>
      <c r="H393" s="268">
        <v>24.71</v>
      </c>
      <c r="I393" s="287">
        <f>0.75+0.78+3.83+2.73</f>
        <v>8.09</v>
      </c>
      <c r="J393" s="268">
        <f t="shared" si="136"/>
        <v>10.26</v>
      </c>
      <c r="K393" s="292">
        <f t="shared" si="135"/>
        <v>16.62</v>
      </c>
      <c r="L393" s="268">
        <f t="shared" si="137"/>
        <v>21.09</v>
      </c>
      <c r="M393" s="268">
        <f t="shared" si="138"/>
        <v>31.35</v>
      </c>
      <c r="N393" s="268">
        <f t="shared" si="139"/>
        <v>666.9</v>
      </c>
      <c r="O393" s="268">
        <f t="shared" si="140"/>
        <v>1370.85</v>
      </c>
      <c r="P393" s="268">
        <f t="shared" si="141"/>
        <v>2037.75</v>
      </c>
      <c r="Q393" s="269">
        <f t="shared" si="142"/>
        <v>8.0000000000000004E-4</v>
      </c>
      <c r="R393" s="44"/>
      <c r="S393" s="49">
        <f t="shared" si="124"/>
        <v>1606.15</v>
      </c>
      <c r="T393" s="44"/>
      <c r="U393" s="44"/>
      <c r="V393" s="44"/>
      <c r="W393" s="44"/>
      <c r="X393" s="44"/>
      <c r="Y393" s="44"/>
      <c r="Z393" s="44"/>
      <c r="AA393" s="44"/>
      <c r="AB393" s="44"/>
      <c r="AC393" s="44"/>
      <c r="AD393" s="44"/>
      <c r="AE393" s="44"/>
      <c r="AF393" s="44"/>
      <c r="AG393" s="44"/>
      <c r="AH393" s="44"/>
      <c r="AI393" s="44"/>
      <c r="AJ393" s="44"/>
      <c r="AK393" s="44"/>
      <c r="AL393" s="44"/>
    </row>
    <row r="394" spans="1:38" x14ac:dyDescent="0.25">
      <c r="A394" s="55"/>
      <c r="B394" s="265" t="s">
        <v>1331</v>
      </c>
      <c r="C394" s="266" t="s">
        <v>1129</v>
      </c>
      <c r="D394" s="265" t="s">
        <v>146</v>
      </c>
      <c r="E394" s="265" t="s">
        <v>1130</v>
      </c>
      <c r="F394" s="267" t="s">
        <v>168</v>
      </c>
      <c r="G394" s="277">
        <v>2</v>
      </c>
      <c r="H394" s="268">
        <v>14.36</v>
      </c>
      <c r="I394" s="287">
        <f>0.75+0.78+3.83+2.73</f>
        <v>8.09</v>
      </c>
      <c r="J394" s="268">
        <f t="shared" si="136"/>
        <v>10.26</v>
      </c>
      <c r="K394" s="292">
        <f t="shared" si="135"/>
        <v>6.27</v>
      </c>
      <c r="L394" s="268">
        <f t="shared" si="137"/>
        <v>7.95</v>
      </c>
      <c r="M394" s="268">
        <f t="shared" si="138"/>
        <v>18.21</v>
      </c>
      <c r="N394" s="268">
        <f t="shared" si="139"/>
        <v>20.52</v>
      </c>
      <c r="O394" s="268">
        <f t="shared" si="140"/>
        <v>15.9</v>
      </c>
      <c r="P394" s="268">
        <f t="shared" si="141"/>
        <v>36.42</v>
      </c>
      <c r="Q394" s="269">
        <f t="shared" si="142"/>
        <v>0</v>
      </c>
      <c r="R394" s="44"/>
      <c r="S394" s="49">
        <f t="shared" si="124"/>
        <v>28.72</v>
      </c>
      <c r="T394" s="44"/>
      <c r="U394" s="44"/>
      <c r="V394" s="44"/>
      <c r="W394" s="44"/>
      <c r="X394" s="44"/>
      <c r="Y394" s="44"/>
      <c r="Z394" s="44"/>
      <c r="AA394" s="44"/>
      <c r="AB394" s="44"/>
      <c r="AC394" s="44"/>
      <c r="AD394" s="44"/>
      <c r="AE394" s="44"/>
      <c r="AF394" s="44"/>
      <c r="AG394" s="44"/>
      <c r="AH394" s="44"/>
      <c r="AI394" s="44"/>
      <c r="AJ394" s="44"/>
      <c r="AK394" s="44"/>
      <c r="AL394" s="44"/>
    </row>
    <row r="395" spans="1:38" ht="13.8" customHeight="1" x14ac:dyDescent="0.25">
      <c r="A395" s="55"/>
      <c r="B395" s="265" t="s">
        <v>1332</v>
      </c>
      <c r="C395" s="266" t="s">
        <v>1548</v>
      </c>
      <c r="D395" s="265" t="s">
        <v>551</v>
      </c>
      <c r="E395" s="265" t="s">
        <v>1549</v>
      </c>
      <c r="F395" s="267" t="s">
        <v>44</v>
      </c>
      <c r="G395" s="277">
        <v>1</v>
      </c>
      <c r="H395" s="268">
        <v>58.99</v>
      </c>
      <c r="I395" s="287">
        <f>14.38+10.39</f>
        <v>24.77</v>
      </c>
      <c r="J395" s="268">
        <f t="shared" si="136"/>
        <v>31.43</v>
      </c>
      <c r="K395" s="292">
        <f t="shared" si="135"/>
        <v>34.22</v>
      </c>
      <c r="L395" s="268">
        <f t="shared" si="137"/>
        <v>43.41</v>
      </c>
      <c r="M395" s="268">
        <f t="shared" si="138"/>
        <v>74.84</v>
      </c>
      <c r="N395" s="268">
        <f t="shared" si="139"/>
        <v>31.43</v>
      </c>
      <c r="O395" s="268">
        <f t="shared" si="140"/>
        <v>43.41</v>
      </c>
      <c r="P395" s="268">
        <f t="shared" si="141"/>
        <v>74.84</v>
      </c>
      <c r="Q395" s="269">
        <f t="shared" si="142"/>
        <v>0</v>
      </c>
      <c r="R395" s="44"/>
      <c r="S395" s="49">
        <f t="shared" si="124"/>
        <v>58.99</v>
      </c>
      <c r="T395" s="44"/>
      <c r="U395" s="44"/>
      <c r="V395" s="44"/>
      <c r="W395" s="44"/>
      <c r="X395" s="44"/>
      <c r="Y395" s="44"/>
      <c r="Z395" s="44"/>
      <c r="AA395" s="44"/>
      <c r="AB395" s="44"/>
      <c r="AC395" s="44"/>
      <c r="AD395" s="44"/>
      <c r="AE395" s="44"/>
      <c r="AF395" s="44"/>
      <c r="AG395" s="44"/>
      <c r="AH395" s="44"/>
      <c r="AI395" s="44"/>
      <c r="AJ395" s="44"/>
      <c r="AK395" s="44"/>
      <c r="AL395" s="44"/>
    </row>
    <row r="396" spans="1:38" x14ac:dyDescent="0.25">
      <c r="A396" s="55"/>
      <c r="B396" s="265" t="s">
        <v>1333</v>
      </c>
      <c r="C396" s="266" t="s">
        <v>1550</v>
      </c>
      <c r="D396" s="265" t="s">
        <v>51</v>
      </c>
      <c r="E396" s="265" t="s">
        <v>1551</v>
      </c>
      <c r="F396" s="267" t="s">
        <v>44</v>
      </c>
      <c r="G396" s="277">
        <v>48</v>
      </c>
      <c r="H396" s="268">
        <v>8.99</v>
      </c>
      <c r="I396" s="287">
        <f>1.87+2.38</f>
        <v>4.25</v>
      </c>
      <c r="J396" s="268">
        <f t="shared" si="136"/>
        <v>5.39</v>
      </c>
      <c r="K396" s="292">
        <f t="shared" si="135"/>
        <v>4.74</v>
      </c>
      <c r="L396" s="268">
        <f t="shared" si="137"/>
        <v>6.01</v>
      </c>
      <c r="M396" s="268">
        <f t="shared" si="138"/>
        <v>11.4</v>
      </c>
      <c r="N396" s="268">
        <f t="shared" si="139"/>
        <v>258.72000000000003</v>
      </c>
      <c r="O396" s="268">
        <f t="shared" si="140"/>
        <v>288.48</v>
      </c>
      <c r="P396" s="268">
        <f t="shared" si="141"/>
        <v>547.20000000000005</v>
      </c>
      <c r="Q396" s="269">
        <f t="shared" si="142"/>
        <v>2.0000000000000001E-4</v>
      </c>
      <c r="R396" s="44"/>
      <c r="S396" s="49">
        <f t="shared" si="124"/>
        <v>431.52</v>
      </c>
      <c r="T396" s="44"/>
      <c r="U396" s="44"/>
      <c r="V396" s="44"/>
      <c r="W396" s="44"/>
      <c r="X396" s="44"/>
      <c r="Y396" s="44"/>
      <c r="Z396" s="44"/>
      <c r="AA396" s="44"/>
      <c r="AB396" s="44"/>
      <c r="AC396" s="44"/>
      <c r="AD396" s="44"/>
      <c r="AE396" s="44"/>
      <c r="AF396" s="44"/>
      <c r="AG396" s="44"/>
      <c r="AH396" s="44"/>
      <c r="AI396" s="44"/>
      <c r="AJ396" s="44"/>
      <c r="AK396" s="44"/>
      <c r="AL396" s="44"/>
    </row>
    <row r="397" spans="1:38" ht="27.6" customHeight="1" x14ac:dyDescent="0.25">
      <c r="A397" s="55"/>
      <c r="B397" s="265" t="s">
        <v>1552</v>
      </c>
      <c r="C397" s="266" t="s">
        <v>1553</v>
      </c>
      <c r="D397" s="265" t="s">
        <v>146</v>
      </c>
      <c r="E397" s="265" t="s">
        <v>1554</v>
      </c>
      <c r="F397" s="267" t="s">
        <v>168</v>
      </c>
      <c r="G397" s="277">
        <v>3</v>
      </c>
      <c r="H397" s="268">
        <v>23.28</v>
      </c>
      <c r="I397" s="287">
        <f>1.31+1.37+6.7+4.78</f>
        <v>14.16</v>
      </c>
      <c r="J397" s="268">
        <f t="shared" si="136"/>
        <v>17.96</v>
      </c>
      <c r="K397" s="292">
        <f t="shared" si="135"/>
        <v>9.1199999999999992</v>
      </c>
      <c r="L397" s="268">
        <f t="shared" si="137"/>
        <v>11.57</v>
      </c>
      <c r="M397" s="268">
        <f t="shared" si="138"/>
        <v>29.53</v>
      </c>
      <c r="N397" s="268">
        <f t="shared" si="139"/>
        <v>53.88</v>
      </c>
      <c r="O397" s="268">
        <f t="shared" si="140"/>
        <v>34.71</v>
      </c>
      <c r="P397" s="268">
        <f t="shared" si="141"/>
        <v>88.59</v>
      </c>
      <c r="Q397" s="269">
        <f t="shared" si="142"/>
        <v>0</v>
      </c>
      <c r="R397" s="44"/>
      <c r="S397" s="49">
        <f t="shared" si="124"/>
        <v>69.84</v>
      </c>
      <c r="T397" s="44"/>
      <c r="U397" s="44"/>
      <c r="V397" s="44"/>
      <c r="W397" s="44"/>
      <c r="X397" s="44"/>
      <c r="Y397" s="44"/>
      <c r="Z397" s="44"/>
      <c r="AA397" s="44"/>
      <c r="AB397" s="44"/>
      <c r="AC397" s="44"/>
      <c r="AD397" s="44"/>
      <c r="AE397" s="44"/>
      <c r="AF397" s="44"/>
      <c r="AG397" s="44"/>
      <c r="AH397" s="44"/>
      <c r="AI397" s="44"/>
      <c r="AJ397" s="44"/>
      <c r="AK397" s="44"/>
      <c r="AL397" s="44"/>
    </row>
    <row r="398" spans="1:38" ht="27.6" x14ac:dyDescent="0.25">
      <c r="A398" s="55"/>
      <c r="B398" s="265" t="s">
        <v>1555</v>
      </c>
      <c r="C398" s="266" t="s">
        <v>711</v>
      </c>
      <c r="D398" s="265" t="s">
        <v>40</v>
      </c>
      <c r="E398" s="265" t="s">
        <v>712</v>
      </c>
      <c r="F398" s="267" t="s">
        <v>55</v>
      </c>
      <c r="G398" s="277">
        <v>65.8</v>
      </c>
      <c r="H398" s="268">
        <f t="shared" ref="H398:H403" si="143">I398+K398</f>
        <v>25.17</v>
      </c>
      <c r="I398" s="287">
        <v>8.17</v>
      </c>
      <c r="J398" s="268">
        <f t="shared" si="136"/>
        <v>10.37</v>
      </c>
      <c r="K398" s="292">
        <v>17</v>
      </c>
      <c r="L398" s="268">
        <f t="shared" si="137"/>
        <v>21.57</v>
      </c>
      <c r="M398" s="268">
        <f t="shared" si="138"/>
        <v>31.94</v>
      </c>
      <c r="N398" s="268">
        <f t="shared" si="139"/>
        <v>682.35</v>
      </c>
      <c r="O398" s="268">
        <f t="shared" si="140"/>
        <v>1419.31</v>
      </c>
      <c r="P398" s="268">
        <f t="shared" si="141"/>
        <v>2101.66</v>
      </c>
      <c r="Q398" s="269">
        <f t="shared" si="142"/>
        <v>8.0000000000000004E-4</v>
      </c>
      <c r="R398" s="44"/>
      <c r="S398" s="49">
        <f t="shared" si="124"/>
        <v>1656.19</v>
      </c>
      <c r="T398" s="44"/>
      <c r="U398" s="44"/>
      <c r="V398" s="44"/>
      <c r="W398" s="44"/>
      <c r="X398" s="44"/>
      <c r="Y398" s="44"/>
      <c r="Z398" s="44"/>
      <c r="AA398" s="44"/>
      <c r="AB398" s="44"/>
      <c r="AC398" s="44"/>
      <c r="AD398" s="44"/>
      <c r="AE398" s="44"/>
      <c r="AF398" s="44"/>
      <c r="AG398" s="44"/>
      <c r="AH398" s="44"/>
      <c r="AI398" s="44"/>
      <c r="AJ398" s="44"/>
      <c r="AK398" s="44"/>
      <c r="AL398" s="44"/>
    </row>
    <row r="399" spans="1:38" ht="27.6" x14ac:dyDescent="0.25">
      <c r="A399" s="55"/>
      <c r="B399" s="265" t="s">
        <v>1556</v>
      </c>
      <c r="C399" s="266" t="s">
        <v>713</v>
      </c>
      <c r="D399" s="265" t="s">
        <v>40</v>
      </c>
      <c r="E399" s="265" t="s">
        <v>714</v>
      </c>
      <c r="F399" s="267" t="s">
        <v>55</v>
      </c>
      <c r="G399" s="277">
        <v>1068.9000000000001</v>
      </c>
      <c r="H399" s="268">
        <f t="shared" si="143"/>
        <v>19.71</v>
      </c>
      <c r="I399" s="287">
        <v>7.7</v>
      </c>
      <c r="J399" s="268">
        <f t="shared" si="136"/>
        <v>9.77</v>
      </c>
      <c r="K399" s="292">
        <v>12.01</v>
      </c>
      <c r="L399" s="268">
        <f t="shared" si="137"/>
        <v>15.24</v>
      </c>
      <c r="M399" s="268">
        <f t="shared" si="138"/>
        <v>25.01</v>
      </c>
      <c r="N399" s="268">
        <f t="shared" si="139"/>
        <v>10443.15</v>
      </c>
      <c r="O399" s="268">
        <f t="shared" si="140"/>
        <v>16290.04</v>
      </c>
      <c r="P399" s="268">
        <f t="shared" si="141"/>
        <v>26733.19</v>
      </c>
      <c r="Q399" s="269">
        <f t="shared" si="142"/>
        <v>1.06E-2</v>
      </c>
      <c r="R399" s="44"/>
      <c r="S399" s="49">
        <f t="shared" si="124"/>
        <v>21068.02</v>
      </c>
      <c r="T399" s="44"/>
      <c r="U399" s="44"/>
      <c r="V399" s="44"/>
      <c r="W399" s="44"/>
      <c r="X399" s="44"/>
      <c r="Y399" s="44"/>
      <c r="Z399" s="44"/>
      <c r="AA399" s="44"/>
      <c r="AB399" s="44"/>
      <c r="AC399" s="44"/>
      <c r="AD399" s="44"/>
      <c r="AE399" s="44"/>
      <c r="AF399" s="44"/>
      <c r="AG399" s="44"/>
      <c r="AH399" s="44"/>
      <c r="AI399" s="44"/>
      <c r="AJ399" s="44"/>
      <c r="AK399" s="44"/>
      <c r="AL399" s="44"/>
    </row>
    <row r="400" spans="1:38" ht="27.6" x14ac:dyDescent="0.25">
      <c r="A400" s="55"/>
      <c r="B400" s="265" t="s">
        <v>1557</v>
      </c>
      <c r="C400" s="266">
        <v>93008</v>
      </c>
      <c r="D400" s="265" t="s">
        <v>40</v>
      </c>
      <c r="E400" s="265" t="s">
        <v>715</v>
      </c>
      <c r="F400" s="267" t="s">
        <v>55</v>
      </c>
      <c r="G400" s="277">
        <v>115.6</v>
      </c>
      <c r="H400" s="268">
        <f t="shared" si="143"/>
        <v>19.84</v>
      </c>
      <c r="I400" s="287">
        <v>3.78</v>
      </c>
      <c r="J400" s="268">
        <f t="shared" si="136"/>
        <v>4.8</v>
      </c>
      <c r="K400" s="292">
        <v>16.059999999999999</v>
      </c>
      <c r="L400" s="268">
        <f t="shared" si="137"/>
        <v>20.38</v>
      </c>
      <c r="M400" s="268">
        <f t="shared" si="138"/>
        <v>25.18</v>
      </c>
      <c r="N400" s="268">
        <f t="shared" si="139"/>
        <v>554.88</v>
      </c>
      <c r="O400" s="268">
        <f t="shared" si="140"/>
        <v>2355.9299999999998</v>
      </c>
      <c r="P400" s="268">
        <f t="shared" si="141"/>
        <v>2910.81</v>
      </c>
      <c r="Q400" s="269">
        <f t="shared" si="142"/>
        <v>1.1999999999999999E-3</v>
      </c>
      <c r="R400" s="44"/>
      <c r="S400" s="49">
        <f t="shared" si="124"/>
        <v>2293.5</v>
      </c>
      <c r="T400" s="44"/>
      <c r="U400" s="44"/>
      <c r="V400" s="44"/>
      <c r="W400" s="44"/>
      <c r="X400" s="44"/>
      <c r="Y400" s="44"/>
      <c r="Z400" s="44"/>
      <c r="AA400" s="44"/>
      <c r="AB400" s="44"/>
      <c r="AC400" s="44"/>
      <c r="AD400" s="44"/>
      <c r="AE400" s="44"/>
      <c r="AF400" s="44"/>
      <c r="AG400" s="44"/>
      <c r="AH400" s="44"/>
      <c r="AI400" s="44"/>
      <c r="AJ400" s="44"/>
      <c r="AK400" s="44"/>
      <c r="AL400" s="44"/>
    </row>
    <row r="401" spans="1:38" ht="27.6" x14ac:dyDescent="0.25">
      <c r="A401" s="55"/>
      <c r="B401" s="265" t="s">
        <v>1558</v>
      </c>
      <c r="C401" s="266" t="s">
        <v>716</v>
      </c>
      <c r="D401" s="265" t="s">
        <v>40</v>
      </c>
      <c r="E401" s="265" t="s">
        <v>717</v>
      </c>
      <c r="F401" s="267" t="s">
        <v>55</v>
      </c>
      <c r="G401" s="277">
        <v>262.10000000000002</v>
      </c>
      <c r="H401" s="268">
        <f t="shared" si="143"/>
        <v>19.670000000000002</v>
      </c>
      <c r="I401" s="287">
        <v>5.48</v>
      </c>
      <c r="J401" s="268">
        <f t="shared" si="136"/>
        <v>6.95</v>
      </c>
      <c r="K401" s="292">
        <v>14.19</v>
      </c>
      <c r="L401" s="268">
        <f t="shared" si="137"/>
        <v>18</v>
      </c>
      <c r="M401" s="268">
        <f t="shared" si="138"/>
        <v>24.95</v>
      </c>
      <c r="N401" s="268">
        <f t="shared" si="139"/>
        <v>1821.6</v>
      </c>
      <c r="O401" s="268">
        <f t="shared" si="140"/>
        <v>4717.8</v>
      </c>
      <c r="P401" s="268">
        <f t="shared" si="141"/>
        <v>6539.4</v>
      </c>
      <c r="Q401" s="269">
        <f t="shared" si="142"/>
        <v>2.5999999999999999E-3</v>
      </c>
      <c r="R401" s="44"/>
      <c r="S401" s="49">
        <f t="shared" si="124"/>
        <v>5155.51</v>
      </c>
      <c r="T401" s="44"/>
      <c r="U401" s="44"/>
      <c r="V401" s="44"/>
      <c r="W401" s="44"/>
      <c r="X401" s="44"/>
      <c r="Y401" s="44"/>
      <c r="Z401" s="44"/>
      <c r="AA401" s="44"/>
      <c r="AB401" s="44"/>
      <c r="AC401" s="44"/>
      <c r="AD401" s="44"/>
      <c r="AE401" s="44"/>
      <c r="AF401" s="44"/>
      <c r="AG401" s="44"/>
      <c r="AH401" s="44"/>
      <c r="AI401" s="44"/>
      <c r="AJ401" s="44"/>
      <c r="AK401" s="44"/>
      <c r="AL401" s="44"/>
    </row>
    <row r="402" spans="1:38" ht="27.6" x14ac:dyDescent="0.25">
      <c r="A402" s="55"/>
      <c r="B402" s="265" t="s">
        <v>1559</v>
      </c>
      <c r="C402" s="266" t="s">
        <v>718</v>
      </c>
      <c r="D402" s="265" t="s">
        <v>40</v>
      </c>
      <c r="E402" s="265" t="s">
        <v>719</v>
      </c>
      <c r="F402" s="267" t="s">
        <v>55</v>
      </c>
      <c r="G402" s="277">
        <v>22.9</v>
      </c>
      <c r="H402" s="268">
        <f t="shared" si="143"/>
        <v>30.07</v>
      </c>
      <c r="I402" s="287">
        <v>4.3499999999999996</v>
      </c>
      <c r="J402" s="268">
        <f t="shared" si="136"/>
        <v>5.52</v>
      </c>
      <c r="K402" s="292">
        <v>25.72</v>
      </c>
      <c r="L402" s="268">
        <f t="shared" si="137"/>
        <v>32.630000000000003</v>
      </c>
      <c r="M402" s="268">
        <f t="shared" si="138"/>
        <v>38.15</v>
      </c>
      <c r="N402" s="268">
        <f t="shared" si="139"/>
        <v>126.41</v>
      </c>
      <c r="O402" s="268">
        <f t="shared" si="140"/>
        <v>747.23</v>
      </c>
      <c r="P402" s="268">
        <f t="shared" si="141"/>
        <v>873.64</v>
      </c>
      <c r="Q402" s="269">
        <f t="shared" si="142"/>
        <v>2.9999999999999997E-4</v>
      </c>
      <c r="R402" s="44"/>
      <c r="S402" s="49">
        <f t="shared" si="124"/>
        <v>688.6</v>
      </c>
      <c r="T402" s="44"/>
      <c r="U402" s="44"/>
      <c r="V402" s="44"/>
      <c r="W402" s="44"/>
      <c r="X402" s="44"/>
      <c r="Y402" s="44"/>
      <c r="Z402" s="44"/>
      <c r="AA402" s="44"/>
      <c r="AB402" s="44"/>
      <c r="AC402" s="44"/>
      <c r="AD402" s="44"/>
      <c r="AE402" s="44"/>
      <c r="AF402" s="44"/>
      <c r="AG402" s="44"/>
      <c r="AH402" s="44"/>
      <c r="AI402" s="44"/>
      <c r="AJ402" s="44"/>
      <c r="AK402" s="44"/>
      <c r="AL402" s="44"/>
    </row>
    <row r="403" spans="1:38" ht="27.6" x14ac:dyDescent="0.25">
      <c r="A403" s="55"/>
      <c r="B403" s="265" t="s">
        <v>1560</v>
      </c>
      <c r="C403" s="266" t="s">
        <v>1561</v>
      </c>
      <c r="D403" s="265" t="s">
        <v>40</v>
      </c>
      <c r="E403" s="265" t="s">
        <v>1562</v>
      </c>
      <c r="F403" s="267" t="s">
        <v>55</v>
      </c>
      <c r="G403" s="277">
        <v>10.5</v>
      </c>
      <c r="H403" s="268">
        <f t="shared" si="143"/>
        <v>52.16</v>
      </c>
      <c r="I403" s="287">
        <v>5.78</v>
      </c>
      <c r="J403" s="268">
        <f t="shared" si="136"/>
        <v>7.33</v>
      </c>
      <c r="K403" s="292">
        <v>46.38</v>
      </c>
      <c r="L403" s="268">
        <f t="shared" si="137"/>
        <v>58.84</v>
      </c>
      <c r="M403" s="268">
        <f t="shared" si="138"/>
        <v>66.17</v>
      </c>
      <c r="N403" s="268">
        <f t="shared" si="139"/>
        <v>76.97</v>
      </c>
      <c r="O403" s="268">
        <f t="shared" si="140"/>
        <v>617.82000000000005</v>
      </c>
      <c r="P403" s="268">
        <f t="shared" si="141"/>
        <v>694.79</v>
      </c>
      <c r="Q403" s="269">
        <f t="shared" si="142"/>
        <v>2.9999999999999997E-4</v>
      </c>
      <c r="R403" s="44"/>
      <c r="S403" s="49">
        <f t="shared" si="124"/>
        <v>547.67999999999995</v>
      </c>
      <c r="T403" s="44"/>
      <c r="U403" s="44"/>
      <c r="V403" s="44"/>
      <c r="W403" s="44"/>
      <c r="X403" s="44"/>
      <c r="Y403" s="44"/>
      <c r="Z403" s="44"/>
      <c r="AA403" s="44"/>
      <c r="AB403" s="44"/>
      <c r="AC403" s="44"/>
      <c r="AD403" s="44"/>
      <c r="AE403" s="44"/>
      <c r="AF403" s="44"/>
      <c r="AG403" s="44"/>
      <c r="AH403" s="44"/>
      <c r="AI403" s="44"/>
      <c r="AJ403" s="44"/>
      <c r="AK403" s="44"/>
      <c r="AL403" s="44"/>
    </row>
    <row r="404" spans="1:38" x14ac:dyDescent="0.25">
      <c r="A404" s="55"/>
      <c r="B404" s="265" t="s">
        <v>1563</v>
      </c>
      <c r="C404" s="266" t="s">
        <v>1131</v>
      </c>
      <c r="D404" s="265" t="s">
        <v>199</v>
      </c>
      <c r="E404" s="265" t="s">
        <v>1132</v>
      </c>
      <c r="F404" s="267" t="s">
        <v>240</v>
      </c>
      <c r="G404" s="277">
        <v>1</v>
      </c>
      <c r="H404" s="268">
        <v>71.67</v>
      </c>
      <c r="I404" s="287">
        <f>14.86+21.66</f>
        <v>36.520000000000003</v>
      </c>
      <c r="J404" s="268">
        <f t="shared" si="136"/>
        <v>46.33</v>
      </c>
      <c r="K404" s="292">
        <f>H404-I404</f>
        <v>35.15</v>
      </c>
      <c r="L404" s="268">
        <f t="shared" si="137"/>
        <v>44.59</v>
      </c>
      <c r="M404" s="268">
        <f t="shared" si="138"/>
        <v>90.92</v>
      </c>
      <c r="N404" s="268">
        <f t="shared" si="139"/>
        <v>46.33</v>
      </c>
      <c r="O404" s="268">
        <f t="shared" si="140"/>
        <v>44.59</v>
      </c>
      <c r="P404" s="268">
        <f t="shared" si="141"/>
        <v>90.92</v>
      </c>
      <c r="Q404" s="269">
        <f t="shared" si="142"/>
        <v>0</v>
      </c>
      <c r="R404" s="44"/>
      <c r="S404" s="49">
        <f t="shared" si="124"/>
        <v>71.67</v>
      </c>
      <c r="T404" s="44"/>
      <c r="U404" s="44"/>
      <c r="V404" s="44"/>
      <c r="W404" s="44"/>
      <c r="X404" s="44"/>
      <c r="Y404" s="44"/>
      <c r="Z404" s="44"/>
      <c r="AA404" s="44"/>
      <c r="AB404" s="44"/>
      <c r="AC404" s="44"/>
      <c r="AD404" s="44"/>
      <c r="AE404" s="44"/>
      <c r="AF404" s="44"/>
      <c r="AG404" s="44"/>
      <c r="AH404" s="44"/>
      <c r="AI404" s="44"/>
      <c r="AJ404" s="44"/>
      <c r="AK404" s="44"/>
      <c r="AL404" s="44"/>
    </row>
    <row r="405" spans="1:38" ht="27.6" x14ac:dyDescent="0.25">
      <c r="A405" s="55"/>
      <c r="B405" s="265" t="s">
        <v>1564</v>
      </c>
      <c r="C405" s="266" t="s">
        <v>725</v>
      </c>
      <c r="D405" s="265" t="s">
        <v>199</v>
      </c>
      <c r="E405" s="265" t="s">
        <v>774</v>
      </c>
      <c r="F405" s="267" t="s">
        <v>168</v>
      </c>
      <c r="G405" s="277">
        <v>34</v>
      </c>
      <c r="H405" s="268">
        <v>236.86</v>
      </c>
      <c r="I405" s="287">
        <f>3.71+10.83</f>
        <v>14.54</v>
      </c>
      <c r="J405" s="268">
        <f t="shared" si="136"/>
        <v>18.45</v>
      </c>
      <c r="K405" s="292">
        <f>H405-I405</f>
        <v>222.32</v>
      </c>
      <c r="L405" s="268">
        <f t="shared" si="137"/>
        <v>282.06</v>
      </c>
      <c r="M405" s="268">
        <f t="shared" si="138"/>
        <v>300.51</v>
      </c>
      <c r="N405" s="268">
        <f t="shared" si="139"/>
        <v>627.29999999999995</v>
      </c>
      <c r="O405" s="268">
        <f t="shared" si="140"/>
        <v>9590.0400000000009</v>
      </c>
      <c r="P405" s="268">
        <f t="shared" si="141"/>
        <v>10217.34</v>
      </c>
      <c r="Q405" s="269">
        <f t="shared" si="142"/>
        <v>4.0000000000000001E-3</v>
      </c>
      <c r="R405" s="44"/>
      <c r="S405" s="49">
        <f t="shared" ref="S405:S468" si="144">G405*H405</f>
        <v>8053.24</v>
      </c>
      <c r="T405" s="44"/>
      <c r="U405" s="44"/>
      <c r="V405" s="44"/>
      <c r="W405" s="44"/>
      <c r="X405" s="44"/>
      <c r="Y405" s="44"/>
      <c r="Z405" s="44"/>
      <c r="AA405" s="44"/>
      <c r="AB405" s="44"/>
      <c r="AC405" s="44"/>
      <c r="AD405" s="44"/>
      <c r="AE405" s="44"/>
      <c r="AF405" s="44"/>
      <c r="AG405" s="44"/>
      <c r="AH405" s="44"/>
      <c r="AI405" s="44"/>
      <c r="AJ405" s="44"/>
      <c r="AK405" s="44"/>
      <c r="AL405" s="44"/>
    </row>
    <row r="406" spans="1:38" x14ac:dyDescent="0.25">
      <c r="A406" s="55"/>
      <c r="B406" s="265" t="s">
        <v>1565</v>
      </c>
      <c r="C406" s="266" t="s">
        <v>720</v>
      </c>
      <c r="D406" s="265" t="s">
        <v>146</v>
      </c>
      <c r="E406" s="265" t="s">
        <v>721</v>
      </c>
      <c r="F406" s="267" t="s">
        <v>168</v>
      </c>
      <c r="G406" s="277">
        <v>107</v>
      </c>
      <c r="H406" s="268">
        <v>12.52</v>
      </c>
      <c r="I406" s="287">
        <f>0.56+0.59+2.87+2.05</f>
        <v>6.07</v>
      </c>
      <c r="J406" s="268">
        <f t="shared" si="136"/>
        <v>7.7</v>
      </c>
      <c r="K406" s="292">
        <f>H406-I406</f>
        <v>6.45</v>
      </c>
      <c r="L406" s="268">
        <f t="shared" si="137"/>
        <v>8.18</v>
      </c>
      <c r="M406" s="268">
        <f t="shared" si="138"/>
        <v>15.88</v>
      </c>
      <c r="N406" s="268">
        <f t="shared" si="139"/>
        <v>823.9</v>
      </c>
      <c r="O406" s="268">
        <f t="shared" si="140"/>
        <v>875.26</v>
      </c>
      <c r="P406" s="268">
        <f t="shared" si="141"/>
        <v>1699.16</v>
      </c>
      <c r="Q406" s="269">
        <f t="shared" si="142"/>
        <v>6.9999999999999999E-4</v>
      </c>
      <c r="R406" s="44"/>
      <c r="S406" s="49">
        <f t="shared" si="144"/>
        <v>1339.64</v>
      </c>
      <c r="T406" s="44"/>
      <c r="U406" s="44"/>
      <c r="V406" s="44"/>
      <c r="W406" s="44"/>
      <c r="X406" s="44"/>
      <c r="Y406" s="44"/>
      <c r="Z406" s="44"/>
      <c r="AA406" s="44"/>
      <c r="AB406" s="44"/>
      <c r="AC406" s="44"/>
      <c r="AD406" s="44"/>
      <c r="AE406" s="44"/>
      <c r="AF406" s="44"/>
      <c r="AG406" s="44"/>
      <c r="AH406" s="44"/>
      <c r="AI406" s="44"/>
      <c r="AJ406" s="44"/>
      <c r="AK406" s="44"/>
      <c r="AL406" s="44"/>
    </row>
    <row r="407" spans="1:38" x14ac:dyDescent="0.25">
      <c r="A407" s="55"/>
      <c r="B407" s="265" t="s">
        <v>1566</v>
      </c>
      <c r="C407" s="266" t="s">
        <v>1133</v>
      </c>
      <c r="D407" s="265" t="s">
        <v>40</v>
      </c>
      <c r="E407" s="265" t="s">
        <v>1134</v>
      </c>
      <c r="F407" s="267" t="s">
        <v>44</v>
      </c>
      <c r="G407" s="277">
        <v>2</v>
      </c>
      <c r="H407" s="268">
        <f>I407+K407</f>
        <v>40.03</v>
      </c>
      <c r="I407" s="287">
        <v>7.65</v>
      </c>
      <c r="J407" s="268">
        <f t="shared" si="136"/>
        <v>9.7100000000000009</v>
      </c>
      <c r="K407" s="292">
        <v>32.380000000000003</v>
      </c>
      <c r="L407" s="268">
        <f t="shared" si="137"/>
        <v>41.08</v>
      </c>
      <c r="M407" s="268">
        <f t="shared" si="138"/>
        <v>50.79</v>
      </c>
      <c r="N407" s="268">
        <f t="shared" si="139"/>
        <v>19.420000000000002</v>
      </c>
      <c r="O407" s="268">
        <f t="shared" si="140"/>
        <v>82.16</v>
      </c>
      <c r="P407" s="268">
        <f t="shared" si="141"/>
        <v>101.58</v>
      </c>
      <c r="Q407" s="269">
        <f t="shared" si="142"/>
        <v>0</v>
      </c>
      <c r="R407" s="44"/>
      <c r="S407" s="49">
        <f t="shared" si="144"/>
        <v>80.06</v>
      </c>
      <c r="T407" s="44"/>
      <c r="U407" s="44"/>
      <c r="V407" s="44"/>
      <c r="W407" s="44"/>
      <c r="X407" s="44"/>
      <c r="Y407" s="44"/>
      <c r="Z407" s="44"/>
      <c r="AA407" s="44"/>
      <c r="AB407" s="44"/>
      <c r="AC407" s="44"/>
      <c r="AD407" s="44"/>
      <c r="AE407" s="44"/>
      <c r="AF407" s="44"/>
      <c r="AG407" s="44"/>
      <c r="AH407" s="44"/>
      <c r="AI407" s="44"/>
      <c r="AJ407" s="44"/>
      <c r="AK407" s="44"/>
      <c r="AL407" s="44"/>
    </row>
    <row r="408" spans="1:38" x14ac:dyDescent="0.25">
      <c r="A408" s="55"/>
      <c r="B408" s="265" t="s">
        <v>1567</v>
      </c>
      <c r="C408" s="266" t="s">
        <v>1568</v>
      </c>
      <c r="D408" s="265" t="s">
        <v>146</v>
      </c>
      <c r="E408" s="265" t="s">
        <v>1569</v>
      </c>
      <c r="F408" s="267" t="s">
        <v>168</v>
      </c>
      <c r="G408" s="277">
        <v>1</v>
      </c>
      <c r="H408" s="268">
        <v>727.68</v>
      </c>
      <c r="I408" s="287">
        <f>18+18.72+91.82+65.52</f>
        <v>194.06</v>
      </c>
      <c r="J408" s="268">
        <f t="shared" si="136"/>
        <v>246.2</v>
      </c>
      <c r="K408" s="292">
        <f>H408-I408</f>
        <v>533.62</v>
      </c>
      <c r="L408" s="268">
        <f t="shared" si="137"/>
        <v>677</v>
      </c>
      <c r="M408" s="268">
        <f t="shared" si="138"/>
        <v>923.2</v>
      </c>
      <c r="N408" s="268">
        <f t="shared" si="139"/>
        <v>246.2</v>
      </c>
      <c r="O408" s="268">
        <f t="shared" si="140"/>
        <v>677</v>
      </c>
      <c r="P408" s="268">
        <f t="shared" si="141"/>
        <v>923.2</v>
      </c>
      <c r="Q408" s="269">
        <f t="shared" si="142"/>
        <v>4.0000000000000002E-4</v>
      </c>
      <c r="R408" s="44"/>
      <c r="S408" s="49">
        <f t="shared" si="144"/>
        <v>727.68</v>
      </c>
      <c r="T408" s="44"/>
      <c r="U408" s="44"/>
      <c r="V408" s="44"/>
      <c r="W408" s="44"/>
      <c r="X408" s="44"/>
      <c r="Y408" s="44"/>
      <c r="Z408" s="44"/>
      <c r="AA408" s="44"/>
      <c r="AB408" s="44"/>
      <c r="AC408" s="44"/>
      <c r="AD408" s="44"/>
      <c r="AE408" s="44"/>
      <c r="AF408" s="44"/>
      <c r="AG408" s="44"/>
      <c r="AH408" s="44"/>
      <c r="AI408" s="44"/>
      <c r="AJ408" s="44"/>
      <c r="AK408" s="44"/>
      <c r="AL408" s="44"/>
    </row>
    <row r="409" spans="1:38" x14ac:dyDescent="0.25">
      <c r="A409" s="55"/>
      <c r="B409" s="265" t="s">
        <v>1570</v>
      </c>
      <c r="C409" s="266" t="s">
        <v>1571</v>
      </c>
      <c r="D409" s="265" t="s">
        <v>584</v>
      </c>
      <c r="E409" s="265" t="s">
        <v>1572</v>
      </c>
      <c r="F409" s="267" t="s">
        <v>585</v>
      </c>
      <c r="G409" s="277">
        <v>1</v>
      </c>
      <c r="H409" s="268">
        <v>538.51</v>
      </c>
      <c r="I409" s="287">
        <v>88.84</v>
      </c>
      <c r="J409" s="268">
        <f t="shared" si="136"/>
        <v>112.71</v>
      </c>
      <c r="K409" s="292">
        <f>H409-I409</f>
        <v>449.67</v>
      </c>
      <c r="L409" s="268">
        <f t="shared" si="137"/>
        <v>570.5</v>
      </c>
      <c r="M409" s="268">
        <f t="shared" si="138"/>
        <v>683.21</v>
      </c>
      <c r="N409" s="268">
        <f t="shared" si="139"/>
        <v>112.71</v>
      </c>
      <c r="O409" s="268">
        <f t="shared" si="140"/>
        <v>570.5</v>
      </c>
      <c r="P409" s="268">
        <f t="shared" si="141"/>
        <v>683.21</v>
      </c>
      <c r="Q409" s="269">
        <f t="shared" si="142"/>
        <v>2.9999999999999997E-4</v>
      </c>
      <c r="R409" s="44"/>
      <c r="S409" s="49">
        <f t="shared" si="144"/>
        <v>538.51</v>
      </c>
      <c r="T409" s="44"/>
      <c r="U409" s="44"/>
      <c r="V409" s="44"/>
      <c r="W409" s="44"/>
      <c r="X409" s="44"/>
      <c r="Y409" s="44"/>
      <c r="Z409" s="44"/>
      <c r="AA409" s="44"/>
      <c r="AB409" s="44"/>
      <c r="AC409" s="44"/>
      <c r="AD409" s="44"/>
      <c r="AE409" s="44"/>
      <c r="AF409" s="44"/>
      <c r="AG409" s="44"/>
      <c r="AH409" s="44"/>
      <c r="AI409" s="44"/>
      <c r="AJ409" s="44"/>
      <c r="AK409" s="44"/>
      <c r="AL409" s="44"/>
    </row>
    <row r="410" spans="1:38" ht="27.6" x14ac:dyDescent="0.25">
      <c r="A410" s="55"/>
      <c r="B410" s="265" t="s">
        <v>1573</v>
      </c>
      <c r="C410" s="266" t="s">
        <v>1574</v>
      </c>
      <c r="D410" s="265" t="s">
        <v>199</v>
      </c>
      <c r="E410" s="265" t="s">
        <v>1575</v>
      </c>
      <c r="F410" s="267" t="s">
        <v>168</v>
      </c>
      <c r="G410" s="277">
        <v>1</v>
      </c>
      <c r="H410" s="268">
        <v>844.46</v>
      </c>
      <c r="I410" s="287">
        <f>37.14+54.16+45.22</f>
        <v>136.52000000000001</v>
      </c>
      <c r="J410" s="268">
        <f t="shared" si="136"/>
        <v>173.2</v>
      </c>
      <c r="K410" s="292">
        <f>H410-I410</f>
        <v>707.94</v>
      </c>
      <c r="L410" s="268">
        <f t="shared" si="137"/>
        <v>898.16</v>
      </c>
      <c r="M410" s="268">
        <f t="shared" si="138"/>
        <v>1071.3599999999999</v>
      </c>
      <c r="N410" s="268">
        <f t="shared" si="139"/>
        <v>173.2</v>
      </c>
      <c r="O410" s="268">
        <f t="shared" si="140"/>
        <v>898.16</v>
      </c>
      <c r="P410" s="268">
        <f t="shared" si="141"/>
        <v>1071.3599999999999</v>
      </c>
      <c r="Q410" s="269">
        <f t="shared" si="142"/>
        <v>4.0000000000000002E-4</v>
      </c>
      <c r="R410" s="44"/>
      <c r="S410" s="49">
        <f t="shared" si="144"/>
        <v>844.46</v>
      </c>
      <c r="T410" s="44"/>
      <c r="U410" s="44"/>
      <c r="V410" s="44"/>
      <c r="W410" s="44"/>
      <c r="X410" s="44"/>
      <c r="Y410" s="44"/>
      <c r="Z410" s="44"/>
      <c r="AA410" s="44"/>
      <c r="AB410" s="44"/>
      <c r="AC410" s="44"/>
      <c r="AD410" s="44"/>
      <c r="AE410" s="44"/>
      <c r="AF410" s="44"/>
      <c r="AG410" s="44"/>
      <c r="AH410" s="44"/>
      <c r="AI410" s="44"/>
      <c r="AJ410" s="44"/>
      <c r="AK410" s="44"/>
      <c r="AL410" s="44"/>
    </row>
    <row r="411" spans="1:38" ht="27.6" x14ac:dyDescent="0.25">
      <c r="A411" s="55"/>
      <c r="B411" s="265" t="s">
        <v>1576</v>
      </c>
      <c r="C411" s="266" t="s">
        <v>1577</v>
      </c>
      <c r="D411" s="265" t="s">
        <v>146</v>
      </c>
      <c r="E411" s="265" t="s">
        <v>1578</v>
      </c>
      <c r="F411" s="267" t="s">
        <v>168</v>
      </c>
      <c r="G411" s="277">
        <v>3</v>
      </c>
      <c r="H411" s="268">
        <v>1975.72</v>
      </c>
      <c r="I411" s="287">
        <f>42+10.64+16.38+214.26+53.56+57.33</f>
        <v>394.17</v>
      </c>
      <c r="J411" s="268">
        <f t="shared" si="136"/>
        <v>500.08</v>
      </c>
      <c r="K411" s="292">
        <f>H411-I411</f>
        <v>1581.55</v>
      </c>
      <c r="L411" s="268">
        <f t="shared" si="137"/>
        <v>2006.51</v>
      </c>
      <c r="M411" s="268">
        <f t="shared" si="138"/>
        <v>2506.59</v>
      </c>
      <c r="N411" s="268">
        <f t="shared" si="139"/>
        <v>1500.24</v>
      </c>
      <c r="O411" s="268">
        <f t="shared" si="140"/>
        <v>6019.53</v>
      </c>
      <c r="P411" s="268">
        <f t="shared" si="141"/>
        <v>7519.77</v>
      </c>
      <c r="Q411" s="269">
        <f t="shared" si="142"/>
        <v>3.0000000000000001E-3</v>
      </c>
      <c r="R411" s="44"/>
      <c r="S411" s="49">
        <f t="shared" si="144"/>
        <v>5927.16</v>
      </c>
      <c r="T411" s="44"/>
      <c r="U411" s="44"/>
      <c r="V411" s="44"/>
      <c r="W411" s="44"/>
      <c r="X411" s="44"/>
      <c r="Y411" s="44"/>
      <c r="Z411" s="44"/>
      <c r="AA411" s="44"/>
      <c r="AB411" s="44"/>
      <c r="AC411" s="44"/>
      <c r="AD411" s="44"/>
      <c r="AE411" s="44"/>
      <c r="AF411" s="44"/>
      <c r="AG411" s="44"/>
      <c r="AH411" s="44"/>
      <c r="AI411" s="44"/>
      <c r="AJ411" s="44"/>
      <c r="AK411" s="44"/>
      <c r="AL411" s="44"/>
    </row>
    <row r="412" spans="1:38" ht="27.6" x14ac:dyDescent="0.25">
      <c r="A412" s="55"/>
      <c r="B412" s="265" t="s">
        <v>1579</v>
      </c>
      <c r="C412" s="266" t="s">
        <v>1580</v>
      </c>
      <c r="D412" s="265" t="s">
        <v>40</v>
      </c>
      <c r="E412" s="265" t="s">
        <v>1581</v>
      </c>
      <c r="F412" s="267" t="s">
        <v>44</v>
      </c>
      <c r="G412" s="277">
        <v>1</v>
      </c>
      <c r="H412" s="268">
        <f>I412+K412</f>
        <v>1145.0899999999999</v>
      </c>
      <c r="I412" s="287">
        <v>24.51</v>
      </c>
      <c r="J412" s="268">
        <f t="shared" si="136"/>
        <v>31.1</v>
      </c>
      <c r="K412" s="292">
        <v>1120.58</v>
      </c>
      <c r="L412" s="268">
        <f t="shared" si="137"/>
        <v>1421.68</v>
      </c>
      <c r="M412" s="268">
        <f t="shared" si="138"/>
        <v>1452.78</v>
      </c>
      <c r="N412" s="268">
        <f t="shared" si="139"/>
        <v>31.1</v>
      </c>
      <c r="O412" s="268">
        <f t="shared" si="140"/>
        <v>1421.68</v>
      </c>
      <c r="P412" s="268">
        <f t="shared" si="141"/>
        <v>1452.78</v>
      </c>
      <c r="Q412" s="269">
        <f t="shared" si="142"/>
        <v>5.9999999999999995E-4</v>
      </c>
      <c r="R412" s="44"/>
      <c r="S412" s="49">
        <f t="shared" si="144"/>
        <v>1145.0899999999999</v>
      </c>
      <c r="T412" s="44"/>
      <c r="U412" s="44"/>
      <c r="V412" s="44"/>
      <c r="W412" s="44"/>
      <c r="X412" s="44"/>
      <c r="Y412" s="44"/>
      <c r="Z412" s="44"/>
      <c r="AA412" s="44"/>
      <c r="AB412" s="44"/>
      <c r="AC412" s="44"/>
      <c r="AD412" s="44"/>
      <c r="AE412" s="44"/>
      <c r="AF412" s="44"/>
      <c r="AG412" s="44"/>
      <c r="AH412" s="44"/>
      <c r="AI412" s="44"/>
      <c r="AJ412" s="44"/>
      <c r="AK412" s="44"/>
      <c r="AL412" s="44"/>
    </row>
    <row r="413" spans="1:38" x14ac:dyDescent="0.25">
      <c r="A413" s="55"/>
      <c r="B413" s="265" t="s">
        <v>1582</v>
      </c>
      <c r="C413" s="266" t="s">
        <v>1583</v>
      </c>
      <c r="D413" s="265" t="s">
        <v>51</v>
      </c>
      <c r="E413" s="265" t="s">
        <v>1584</v>
      </c>
      <c r="F413" s="267" t="s">
        <v>44</v>
      </c>
      <c r="G413" s="277">
        <v>1</v>
      </c>
      <c r="H413" s="268">
        <v>1245.1099999999999</v>
      </c>
      <c r="I413" s="287">
        <f>65.3+82.92</f>
        <v>148.22</v>
      </c>
      <c r="J413" s="268">
        <f t="shared" si="136"/>
        <v>188.05</v>
      </c>
      <c r="K413" s="292">
        <f>H413-I413</f>
        <v>1096.8900000000001</v>
      </c>
      <c r="L413" s="268">
        <f t="shared" si="137"/>
        <v>1391.62</v>
      </c>
      <c r="M413" s="268">
        <f t="shared" si="138"/>
        <v>1579.67</v>
      </c>
      <c r="N413" s="268">
        <f t="shared" si="139"/>
        <v>188.05</v>
      </c>
      <c r="O413" s="268">
        <f t="shared" si="140"/>
        <v>1391.62</v>
      </c>
      <c r="P413" s="268">
        <f t="shared" si="141"/>
        <v>1579.67</v>
      </c>
      <c r="Q413" s="269">
        <f t="shared" si="142"/>
        <v>5.9999999999999995E-4</v>
      </c>
      <c r="R413" s="44"/>
      <c r="S413" s="49">
        <f t="shared" si="144"/>
        <v>1245.1099999999999</v>
      </c>
      <c r="T413" s="44"/>
      <c r="U413" s="44"/>
      <c r="V413" s="44"/>
      <c r="W413" s="44"/>
      <c r="X413" s="44"/>
      <c r="Y413" s="44"/>
      <c r="Z413" s="44"/>
      <c r="AA413" s="44"/>
      <c r="AB413" s="44"/>
      <c r="AC413" s="44"/>
      <c r="AD413" s="44"/>
      <c r="AE413" s="44"/>
      <c r="AF413" s="44"/>
      <c r="AG413" s="44"/>
      <c r="AH413" s="44"/>
      <c r="AI413" s="44"/>
      <c r="AJ413" s="44"/>
      <c r="AK413" s="44"/>
      <c r="AL413" s="44"/>
    </row>
    <row r="414" spans="1:38" x14ac:dyDescent="0.25">
      <c r="A414" s="55"/>
      <c r="B414" s="265" t="s">
        <v>1585</v>
      </c>
      <c r="C414" s="266" t="s">
        <v>688</v>
      </c>
      <c r="D414" s="265" t="s">
        <v>51</v>
      </c>
      <c r="E414" s="265" t="s">
        <v>689</v>
      </c>
      <c r="F414" s="267" t="s">
        <v>44</v>
      </c>
      <c r="G414" s="277">
        <v>4</v>
      </c>
      <c r="H414" s="268">
        <v>209.66</v>
      </c>
      <c r="I414" s="287">
        <f>20.04+25.45</f>
        <v>45.49</v>
      </c>
      <c r="J414" s="268">
        <f t="shared" si="136"/>
        <v>57.71</v>
      </c>
      <c r="K414" s="292">
        <f>H414-I414</f>
        <v>164.17</v>
      </c>
      <c r="L414" s="268">
        <f t="shared" si="137"/>
        <v>208.28</v>
      </c>
      <c r="M414" s="268">
        <f t="shared" si="138"/>
        <v>265.99</v>
      </c>
      <c r="N414" s="268">
        <f t="shared" si="139"/>
        <v>230.84</v>
      </c>
      <c r="O414" s="268">
        <f t="shared" si="140"/>
        <v>833.12</v>
      </c>
      <c r="P414" s="268">
        <f t="shared" si="141"/>
        <v>1063.96</v>
      </c>
      <c r="Q414" s="269">
        <f t="shared" si="142"/>
        <v>4.0000000000000002E-4</v>
      </c>
      <c r="R414" s="44"/>
      <c r="S414" s="49">
        <f t="shared" si="144"/>
        <v>838.64</v>
      </c>
      <c r="T414" s="44"/>
      <c r="U414" s="44"/>
      <c r="V414" s="44"/>
      <c r="W414" s="44"/>
      <c r="X414" s="44"/>
      <c r="Y414" s="44"/>
      <c r="Z414" s="44"/>
      <c r="AA414" s="44"/>
      <c r="AB414" s="44"/>
      <c r="AC414" s="44"/>
      <c r="AD414" s="44"/>
      <c r="AE414" s="44"/>
      <c r="AF414" s="44"/>
      <c r="AG414" s="44"/>
      <c r="AH414" s="44"/>
      <c r="AI414" s="44"/>
      <c r="AJ414" s="44"/>
      <c r="AK414" s="44"/>
      <c r="AL414" s="44"/>
    </row>
    <row r="415" spans="1:38" x14ac:dyDescent="0.25">
      <c r="A415" s="55"/>
      <c r="B415" s="261" t="s">
        <v>790</v>
      </c>
      <c r="C415" s="261"/>
      <c r="D415" s="261"/>
      <c r="E415" s="261" t="s">
        <v>274</v>
      </c>
      <c r="F415" s="261"/>
      <c r="G415" s="276"/>
      <c r="H415" s="262"/>
      <c r="I415" s="286"/>
      <c r="J415" s="261"/>
      <c r="K415" s="291"/>
      <c r="L415" s="261"/>
      <c r="M415" s="261"/>
      <c r="N415" s="261"/>
      <c r="O415" s="261"/>
      <c r="P415" s="263"/>
      <c r="Q415" s="263"/>
      <c r="R415" s="44"/>
      <c r="S415" s="49">
        <f t="shared" si="144"/>
        <v>0</v>
      </c>
      <c r="T415" s="44"/>
      <c r="U415" s="44"/>
      <c r="V415" s="44"/>
      <c r="W415" s="44"/>
      <c r="X415" s="44"/>
      <c r="Y415" s="44"/>
      <c r="Z415" s="44"/>
      <c r="AA415" s="44"/>
      <c r="AB415" s="44"/>
      <c r="AC415" s="44"/>
      <c r="AD415" s="44"/>
      <c r="AE415" s="44"/>
      <c r="AF415" s="44"/>
      <c r="AG415" s="44"/>
      <c r="AH415" s="44"/>
      <c r="AI415" s="44"/>
      <c r="AJ415" s="44"/>
      <c r="AK415" s="44"/>
      <c r="AL415" s="44"/>
    </row>
    <row r="416" spans="1:38" ht="27.6" x14ac:dyDescent="0.25">
      <c r="A416" s="55"/>
      <c r="B416" s="265" t="s">
        <v>845</v>
      </c>
      <c r="C416" s="266" t="s">
        <v>277</v>
      </c>
      <c r="D416" s="265" t="s">
        <v>40</v>
      </c>
      <c r="E416" s="265" t="s">
        <v>278</v>
      </c>
      <c r="F416" s="267" t="s">
        <v>44</v>
      </c>
      <c r="G416" s="277">
        <v>22</v>
      </c>
      <c r="H416" s="268">
        <f>I416+K416</f>
        <v>105.18</v>
      </c>
      <c r="I416" s="287">
        <v>13.57</v>
      </c>
      <c r="J416" s="268">
        <f t="shared" ref="J416:J421" si="145">I416*(1+$M$9)</f>
        <v>17.22</v>
      </c>
      <c r="K416" s="292">
        <v>91.61</v>
      </c>
      <c r="L416" s="268">
        <f t="shared" ref="L416:L421" si="146">K416*(1+$M$9)</f>
        <v>116.23</v>
      </c>
      <c r="M416" s="268">
        <f t="shared" ref="M416:M421" si="147">L416+J416</f>
        <v>133.44999999999999</v>
      </c>
      <c r="N416" s="268">
        <f t="shared" ref="N416:N421" si="148">J416*G416</f>
        <v>378.84</v>
      </c>
      <c r="O416" s="268">
        <f t="shared" ref="O416:O421" si="149">L416*G416</f>
        <v>2557.06</v>
      </c>
      <c r="P416" s="268">
        <f t="shared" ref="P416:P421" si="150">O416+N416</f>
        <v>2935.9</v>
      </c>
      <c r="Q416" s="269">
        <f t="shared" ref="Q416:Q421" si="151">P416/$O$485</f>
        <v>1.1999999999999999E-3</v>
      </c>
      <c r="R416" s="44"/>
      <c r="S416" s="49">
        <f t="shared" si="144"/>
        <v>2313.96</v>
      </c>
      <c r="T416" s="44"/>
      <c r="U416" s="44"/>
      <c r="V416" s="44"/>
      <c r="W416" s="44"/>
      <c r="X416" s="44"/>
      <c r="Y416" s="44"/>
      <c r="Z416" s="44"/>
      <c r="AA416" s="44"/>
      <c r="AB416" s="44"/>
      <c r="AC416" s="44"/>
      <c r="AD416" s="44"/>
      <c r="AE416" s="44"/>
      <c r="AF416" s="44"/>
      <c r="AG416" s="44"/>
      <c r="AH416" s="44"/>
      <c r="AI416" s="44"/>
      <c r="AJ416" s="44"/>
      <c r="AK416" s="44"/>
      <c r="AL416" s="44"/>
    </row>
    <row r="417" spans="1:38" ht="27.6" x14ac:dyDescent="0.25">
      <c r="A417" s="55"/>
      <c r="B417" s="265" t="s">
        <v>846</v>
      </c>
      <c r="C417" s="266" t="s">
        <v>724</v>
      </c>
      <c r="D417" s="265" t="s">
        <v>199</v>
      </c>
      <c r="E417" s="265" t="s">
        <v>773</v>
      </c>
      <c r="F417" s="267" t="s">
        <v>168</v>
      </c>
      <c r="G417" s="277">
        <v>26</v>
      </c>
      <c r="H417" s="268">
        <v>322.36</v>
      </c>
      <c r="I417" s="287">
        <f>7.43+10.83</f>
        <v>18.260000000000002</v>
      </c>
      <c r="J417" s="268">
        <f t="shared" si="145"/>
        <v>23.17</v>
      </c>
      <c r="K417" s="292">
        <f>H417-I417</f>
        <v>304.10000000000002</v>
      </c>
      <c r="L417" s="268">
        <f t="shared" si="146"/>
        <v>385.81</v>
      </c>
      <c r="M417" s="268">
        <f t="shared" si="147"/>
        <v>408.98</v>
      </c>
      <c r="N417" s="268">
        <f t="shared" si="148"/>
        <v>602.41999999999996</v>
      </c>
      <c r="O417" s="268">
        <f t="shared" si="149"/>
        <v>10031.06</v>
      </c>
      <c r="P417" s="268">
        <f t="shared" si="150"/>
        <v>10633.48</v>
      </c>
      <c r="Q417" s="269">
        <f t="shared" si="151"/>
        <v>4.1999999999999997E-3</v>
      </c>
      <c r="R417" s="44"/>
      <c r="S417" s="49">
        <f t="shared" si="144"/>
        <v>8381.36</v>
      </c>
      <c r="T417" s="44"/>
      <c r="U417" s="44"/>
      <c r="V417" s="44"/>
      <c r="W417" s="44"/>
      <c r="X417" s="44"/>
      <c r="Y417" s="44"/>
      <c r="Z417" s="44"/>
      <c r="AA417" s="44"/>
      <c r="AB417" s="44"/>
      <c r="AC417" s="44"/>
      <c r="AD417" s="44"/>
      <c r="AE417" s="44"/>
      <c r="AF417" s="44"/>
      <c r="AG417" s="44"/>
      <c r="AH417" s="44"/>
      <c r="AI417" s="44"/>
      <c r="AJ417" s="44"/>
      <c r="AK417" s="44"/>
      <c r="AL417" s="44"/>
    </row>
    <row r="418" spans="1:38" x14ac:dyDescent="0.25">
      <c r="A418" s="55"/>
      <c r="B418" s="265" t="s">
        <v>847</v>
      </c>
      <c r="C418" s="266" t="s">
        <v>966</v>
      </c>
      <c r="D418" s="265" t="s">
        <v>51</v>
      </c>
      <c r="E418" s="265" t="s">
        <v>967</v>
      </c>
      <c r="F418" s="267" t="s">
        <v>44</v>
      </c>
      <c r="G418" s="277">
        <v>20</v>
      </c>
      <c r="H418" s="268">
        <v>53.9</v>
      </c>
      <c r="I418" s="287">
        <f>13.35+16.96</f>
        <v>30.31</v>
      </c>
      <c r="J418" s="268">
        <f t="shared" si="145"/>
        <v>38.450000000000003</v>
      </c>
      <c r="K418" s="292">
        <f>H418-I418</f>
        <v>23.59</v>
      </c>
      <c r="L418" s="268">
        <f t="shared" si="146"/>
        <v>29.93</v>
      </c>
      <c r="M418" s="268">
        <f t="shared" si="147"/>
        <v>68.38</v>
      </c>
      <c r="N418" s="268">
        <f t="shared" si="148"/>
        <v>769</v>
      </c>
      <c r="O418" s="268">
        <f t="shared" si="149"/>
        <v>598.6</v>
      </c>
      <c r="P418" s="268">
        <f t="shared" si="150"/>
        <v>1367.6</v>
      </c>
      <c r="Q418" s="269">
        <f t="shared" si="151"/>
        <v>5.0000000000000001E-4</v>
      </c>
      <c r="R418" s="44"/>
      <c r="S418" s="49">
        <f t="shared" si="144"/>
        <v>1078</v>
      </c>
      <c r="T418" s="44"/>
      <c r="U418" s="44"/>
      <c r="V418" s="44"/>
      <c r="W418" s="44"/>
      <c r="X418" s="44"/>
      <c r="Y418" s="44"/>
      <c r="Z418" s="44"/>
      <c r="AA418" s="44"/>
      <c r="AB418" s="44"/>
      <c r="AC418" s="44"/>
      <c r="AD418" s="44"/>
      <c r="AE418" s="44"/>
      <c r="AF418" s="44"/>
      <c r="AG418" s="44"/>
      <c r="AH418" s="44"/>
      <c r="AI418" s="44"/>
      <c r="AJ418" s="44"/>
      <c r="AK418" s="44"/>
      <c r="AL418" s="44"/>
    </row>
    <row r="419" spans="1:38" x14ac:dyDescent="0.25">
      <c r="A419" s="55"/>
      <c r="B419" s="265" t="s">
        <v>1104</v>
      </c>
      <c r="C419" s="266" t="s">
        <v>968</v>
      </c>
      <c r="D419" s="265" t="s">
        <v>146</v>
      </c>
      <c r="E419" s="265" t="s">
        <v>969</v>
      </c>
      <c r="F419" s="267" t="s">
        <v>168</v>
      </c>
      <c r="G419" s="277">
        <v>53</v>
      </c>
      <c r="H419" s="268">
        <v>213.2</v>
      </c>
      <c r="I419" s="287">
        <f>1.88+1.95+9.57+6.83</f>
        <v>20.23</v>
      </c>
      <c r="J419" s="268">
        <f t="shared" si="145"/>
        <v>25.67</v>
      </c>
      <c r="K419" s="292">
        <f>H419-I419</f>
        <v>192.97</v>
      </c>
      <c r="L419" s="268">
        <f t="shared" si="146"/>
        <v>244.82</v>
      </c>
      <c r="M419" s="268">
        <f t="shared" si="147"/>
        <v>270.49</v>
      </c>
      <c r="N419" s="268">
        <f t="shared" si="148"/>
        <v>1360.51</v>
      </c>
      <c r="O419" s="268">
        <f t="shared" si="149"/>
        <v>12975.46</v>
      </c>
      <c r="P419" s="268">
        <f t="shared" si="150"/>
        <v>14335.97</v>
      </c>
      <c r="Q419" s="269">
        <f t="shared" si="151"/>
        <v>5.7000000000000002E-3</v>
      </c>
      <c r="R419" s="44"/>
      <c r="S419" s="49">
        <f t="shared" si="144"/>
        <v>11299.6</v>
      </c>
      <c r="T419" s="44"/>
      <c r="U419" s="44"/>
      <c r="V419" s="44"/>
      <c r="W419" s="44"/>
      <c r="X419" s="44"/>
      <c r="Y419" s="44"/>
      <c r="Z419" s="44"/>
      <c r="AA419" s="44"/>
      <c r="AB419" s="44"/>
      <c r="AC419" s="44"/>
      <c r="AD419" s="44"/>
      <c r="AE419" s="44"/>
      <c r="AF419" s="44"/>
      <c r="AG419" s="44"/>
      <c r="AH419" s="44"/>
      <c r="AI419" s="44"/>
      <c r="AJ419" s="44"/>
      <c r="AK419" s="44"/>
      <c r="AL419" s="44"/>
    </row>
    <row r="420" spans="1:38" ht="27.6" x14ac:dyDescent="0.25">
      <c r="A420" s="55"/>
      <c r="B420" s="265" t="s">
        <v>1433</v>
      </c>
      <c r="C420" s="266" t="s">
        <v>277</v>
      </c>
      <c r="D420" s="265" t="s">
        <v>40</v>
      </c>
      <c r="E420" s="265" t="s">
        <v>278</v>
      </c>
      <c r="F420" s="267" t="s">
        <v>44</v>
      </c>
      <c r="G420" s="277">
        <v>24</v>
      </c>
      <c r="H420" s="268">
        <f>I420+K420</f>
        <v>105.18</v>
      </c>
      <c r="I420" s="287">
        <v>13.57</v>
      </c>
      <c r="J420" s="268">
        <f t="shared" si="145"/>
        <v>17.22</v>
      </c>
      <c r="K420" s="292">
        <v>91.61</v>
      </c>
      <c r="L420" s="268">
        <f t="shared" si="146"/>
        <v>116.23</v>
      </c>
      <c r="M420" s="268">
        <f t="shared" si="147"/>
        <v>133.44999999999999</v>
      </c>
      <c r="N420" s="268">
        <f t="shared" si="148"/>
        <v>413.28</v>
      </c>
      <c r="O420" s="268">
        <f t="shared" si="149"/>
        <v>2789.52</v>
      </c>
      <c r="P420" s="268">
        <f t="shared" si="150"/>
        <v>3202.8</v>
      </c>
      <c r="Q420" s="269">
        <f t="shared" si="151"/>
        <v>1.2999999999999999E-3</v>
      </c>
      <c r="R420" s="44"/>
      <c r="S420" s="49">
        <f t="shared" si="144"/>
        <v>2524.3200000000002</v>
      </c>
      <c r="T420" s="44"/>
      <c r="U420" s="44"/>
      <c r="V420" s="44"/>
      <c r="W420" s="44"/>
      <c r="X420" s="44"/>
      <c r="Y420" s="44"/>
      <c r="Z420" s="44"/>
      <c r="AA420" s="44"/>
      <c r="AB420" s="44"/>
      <c r="AC420" s="44"/>
      <c r="AD420" s="44"/>
      <c r="AE420" s="44"/>
      <c r="AF420" s="44"/>
      <c r="AG420" s="44"/>
      <c r="AH420" s="44"/>
      <c r="AI420" s="44"/>
      <c r="AJ420" s="44"/>
      <c r="AK420" s="44"/>
      <c r="AL420" s="44"/>
    </row>
    <row r="421" spans="1:38" ht="27.6" x14ac:dyDescent="0.25">
      <c r="A421" s="55"/>
      <c r="B421" s="265" t="s">
        <v>1586</v>
      </c>
      <c r="C421" s="266" t="s">
        <v>1587</v>
      </c>
      <c r="D421" s="265" t="s">
        <v>199</v>
      </c>
      <c r="E421" s="265" t="s">
        <v>1588</v>
      </c>
      <c r="F421" s="267" t="s">
        <v>44</v>
      </c>
      <c r="G421" s="277">
        <v>8</v>
      </c>
      <c r="H421" s="268">
        <v>112.49</v>
      </c>
      <c r="I421" s="287">
        <f>18.57+13.54</f>
        <v>32.11</v>
      </c>
      <c r="J421" s="268">
        <f t="shared" si="145"/>
        <v>40.74</v>
      </c>
      <c r="K421" s="292">
        <f>H421-I421</f>
        <v>80.38</v>
      </c>
      <c r="L421" s="268">
        <f t="shared" si="146"/>
        <v>101.98</v>
      </c>
      <c r="M421" s="268">
        <f t="shared" si="147"/>
        <v>142.72</v>
      </c>
      <c r="N421" s="268">
        <f t="shared" si="148"/>
        <v>325.92</v>
      </c>
      <c r="O421" s="268">
        <f t="shared" si="149"/>
        <v>815.84</v>
      </c>
      <c r="P421" s="268">
        <f t="shared" si="150"/>
        <v>1141.76</v>
      </c>
      <c r="Q421" s="269">
        <f t="shared" si="151"/>
        <v>5.0000000000000001E-4</v>
      </c>
      <c r="R421" s="44"/>
      <c r="S421" s="49">
        <f t="shared" si="144"/>
        <v>899.92</v>
      </c>
      <c r="T421" s="44"/>
      <c r="U421" s="44"/>
      <c r="V421" s="44"/>
      <c r="W421" s="44"/>
      <c r="X421" s="44"/>
      <c r="Y421" s="44"/>
      <c r="Z421" s="44"/>
      <c r="AA421" s="44"/>
      <c r="AB421" s="44"/>
      <c r="AC421" s="44"/>
      <c r="AD421" s="44"/>
      <c r="AE421" s="44"/>
      <c r="AF421" s="44"/>
      <c r="AG421" s="44"/>
      <c r="AH421" s="44"/>
      <c r="AI421" s="44"/>
      <c r="AJ421" s="44"/>
      <c r="AK421" s="44"/>
      <c r="AL421" s="44"/>
    </row>
    <row r="422" spans="1:38" x14ac:dyDescent="0.25">
      <c r="A422" s="55"/>
      <c r="B422" s="261" t="s">
        <v>891</v>
      </c>
      <c r="C422" s="261"/>
      <c r="D422" s="261"/>
      <c r="E422" s="261" t="s">
        <v>726</v>
      </c>
      <c r="F422" s="261"/>
      <c r="G422" s="276"/>
      <c r="H422" s="262"/>
      <c r="I422" s="286"/>
      <c r="J422" s="261"/>
      <c r="K422" s="291"/>
      <c r="L422" s="261"/>
      <c r="M422" s="261"/>
      <c r="N422" s="261"/>
      <c r="O422" s="261"/>
      <c r="P422" s="263"/>
      <c r="Q422" s="263"/>
      <c r="R422" s="44"/>
      <c r="S422" s="49">
        <f t="shared" si="144"/>
        <v>0</v>
      </c>
      <c r="T422" s="44"/>
      <c r="U422" s="44"/>
      <c r="V422" s="44"/>
      <c r="W422" s="44"/>
      <c r="X422" s="44"/>
      <c r="Y422" s="44"/>
      <c r="Z422" s="44"/>
      <c r="AA422" s="44"/>
      <c r="AB422" s="44"/>
      <c r="AC422" s="44"/>
      <c r="AD422" s="44"/>
      <c r="AE422" s="44"/>
      <c r="AF422" s="44"/>
      <c r="AG422" s="44"/>
      <c r="AH422" s="44"/>
      <c r="AI422" s="44"/>
      <c r="AJ422" s="44"/>
      <c r="AK422" s="44"/>
      <c r="AL422" s="44"/>
    </row>
    <row r="423" spans="1:38" ht="27.6" x14ac:dyDescent="0.25">
      <c r="A423" s="55"/>
      <c r="B423" s="265" t="s">
        <v>892</v>
      </c>
      <c r="C423" s="266" t="s">
        <v>394</v>
      </c>
      <c r="D423" s="265" t="s">
        <v>146</v>
      </c>
      <c r="E423" s="265" t="s">
        <v>1135</v>
      </c>
      <c r="F423" s="267" t="s">
        <v>168</v>
      </c>
      <c r="G423" s="277">
        <v>1</v>
      </c>
      <c r="H423" s="268">
        <v>390.9</v>
      </c>
      <c r="I423" s="287">
        <f>5.63+28.7</f>
        <v>34.33</v>
      </c>
      <c r="J423" s="268">
        <f t="shared" ref="J423:J433" si="152">I423*(1+$M$9)</f>
        <v>43.55</v>
      </c>
      <c r="K423" s="292">
        <f>H423-I423</f>
        <v>356.57</v>
      </c>
      <c r="L423" s="268">
        <f t="shared" ref="L423:L433" si="153">K423*(1+$M$9)</f>
        <v>452.38</v>
      </c>
      <c r="M423" s="268">
        <f t="shared" ref="M423:M433" si="154">L423+J423</f>
        <v>495.93</v>
      </c>
      <c r="N423" s="268">
        <f t="shared" ref="N423:N433" si="155">J423*G423</f>
        <v>43.55</v>
      </c>
      <c r="O423" s="268">
        <f t="shared" ref="O423:O433" si="156">L423*G423</f>
        <v>452.38</v>
      </c>
      <c r="P423" s="268">
        <f t="shared" ref="P423:P433" si="157">O423+N423</f>
        <v>495.93</v>
      </c>
      <c r="Q423" s="269">
        <f t="shared" ref="Q423:Q433" si="158">P423/$O$485</f>
        <v>2.0000000000000001E-4</v>
      </c>
      <c r="R423" s="44"/>
      <c r="S423" s="49">
        <f t="shared" si="144"/>
        <v>390.9</v>
      </c>
      <c r="T423" s="44"/>
      <c r="U423" s="44"/>
      <c r="V423" s="44"/>
      <c r="W423" s="44"/>
      <c r="X423" s="44"/>
      <c r="Y423" s="44"/>
      <c r="Z423" s="44"/>
      <c r="AA423" s="44"/>
      <c r="AB423" s="44"/>
      <c r="AC423" s="44"/>
      <c r="AD423" s="44"/>
      <c r="AE423" s="44"/>
      <c r="AF423" s="44"/>
      <c r="AG423" s="44"/>
      <c r="AH423" s="44"/>
      <c r="AI423" s="44"/>
      <c r="AJ423" s="44"/>
      <c r="AK423" s="44"/>
      <c r="AL423" s="44"/>
    </row>
    <row r="424" spans="1:38" ht="27.6" x14ac:dyDescent="0.25">
      <c r="A424" s="55"/>
      <c r="B424" s="265" t="s">
        <v>1108</v>
      </c>
      <c r="C424" s="266" t="s">
        <v>722</v>
      </c>
      <c r="D424" s="265" t="s">
        <v>40</v>
      </c>
      <c r="E424" s="265" t="s">
        <v>723</v>
      </c>
      <c r="F424" s="267" t="s">
        <v>44</v>
      </c>
      <c r="G424" s="277">
        <v>12</v>
      </c>
      <c r="H424" s="268">
        <f>I424+K424</f>
        <v>897.64</v>
      </c>
      <c r="I424" s="287">
        <v>212.12</v>
      </c>
      <c r="J424" s="268">
        <f t="shared" si="152"/>
        <v>269.12</v>
      </c>
      <c r="K424" s="292">
        <f>684.43+0.68+0.41</f>
        <v>685.52</v>
      </c>
      <c r="L424" s="268">
        <f t="shared" si="153"/>
        <v>869.72</v>
      </c>
      <c r="M424" s="268">
        <f t="shared" si="154"/>
        <v>1138.8399999999999</v>
      </c>
      <c r="N424" s="268">
        <f t="shared" si="155"/>
        <v>3229.44</v>
      </c>
      <c r="O424" s="268">
        <f t="shared" si="156"/>
        <v>10436.64</v>
      </c>
      <c r="P424" s="268">
        <f t="shared" si="157"/>
        <v>13666.08</v>
      </c>
      <c r="Q424" s="269">
        <f t="shared" si="158"/>
        <v>5.4000000000000003E-3</v>
      </c>
      <c r="R424" s="44"/>
      <c r="S424" s="49">
        <f t="shared" si="144"/>
        <v>10771.68</v>
      </c>
      <c r="T424" s="44"/>
      <c r="U424" s="44"/>
      <c r="V424" s="44"/>
      <c r="W424" s="44"/>
      <c r="X424" s="44"/>
      <c r="Y424" s="44"/>
      <c r="Z424" s="44"/>
      <c r="AA424" s="44"/>
      <c r="AB424" s="44"/>
      <c r="AC424" s="44"/>
      <c r="AD424" s="44"/>
      <c r="AE424" s="44"/>
      <c r="AF424" s="44"/>
      <c r="AG424" s="44"/>
      <c r="AH424" s="44"/>
      <c r="AI424" s="44"/>
      <c r="AJ424" s="44"/>
      <c r="AK424" s="44"/>
      <c r="AL424" s="44"/>
    </row>
    <row r="425" spans="1:38" ht="27.6" x14ac:dyDescent="0.25">
      <c r="A425" s="55"/>
      <c r="B425" s="265" t="s">
        <v>1109</v>
      </c>
      <c r="C425" s="266" t="s">
        <v>727</v>
      </c>
      <c r="D425" s="265" t="s">
        <v>40</v>
      </c>
      <c r="E425" s="265" t="s">
        <v>728</v>
      </c>
      <c r="F425" s="267" t="s">
        <v>44</v>
      </c>
      <c r="G425" s="277">
        <v>12</v>
      </c>
      <c r="H425" s="268">
        <f>I425+K425</f>
        <v>41.29</v>
      </c>
      <c r="I425" s="287">
        <v>5.21</v>
      </c>
      <c r="J425" s="268">
        <f t="shared" si="152"/>
        <v>6.61</v>
      </c>
      <c r="K425" s="292">
        <v>36.08</v>
      </c>
      <c r="L425" s="268">
        <f t="shared" si="153"/>
        <v>45.77</v>
      </c>
      <c r="M425" s="268">
        <f t="shared" si="154"/>
        <v>52.38</v>
      </c>
      <c r="N425" s="268">
        <f t="shared" si="155"/>
        <v>79.319999999999993</v>
      </c>
      <c r="O425" s="268">
        <f t="shared" si="156"/>
        <v>549.24</v>
      </c>
      <c r="P425" s="268">
        <f t="shared" si="157"/>
        <v>628.55999999999995</v>
      </c>
      <c r="Q425" s="269">
        <f t="shared" si="158"/>
        <v>2.0000000000000001E-4</v>
      </c>
      <c r="R425" s="44"/>
      <c r="S425" s="49">
        <f t="shared" si="144"/>
        <v>495.48</v>
      </c>
      <c r="T425" s="44"/>
      <c r="U425" s="44"/>
      <c r="V425" s="44"/>
      <c r="W425" s="44"/>
      <c r="X425" s="44"/>
      <c r="Y425" s="44"/>
      <c r="Z425" s="44"/>
      <c r="AA425" s="44"/>
      <c r="AB425" s="44"/>
      <c r="AC425" s="44"/>
      <c r="AD425" s="44"/>
      <c r="AE425" s="44"/>
      <c r="AF425" s="44"/>
      <c r="AG425" s="44"/>
      <c r="AH425" s="44"/>
      <c r="AI425" s="44"/>
      <c r="AJ425" s="44"/>
      <c r="AK425" s="44"/>
      <c r="AL425" s="44"/>
    </row>
    <row r="426" spans="1:38" x14ac:dyDescent="0.25">
      <c r="A426" s="55"/>
      <c r="B426" s="265" t="s">
        <v>1112</v>
      </c>
      <c r="C426" s="266" t="s">
        <v>1589</v>
      </c>
      <c r="D426" s="265" t="s">
        <v>51</v>
      </c>
      <c r="E426" s="265" t="s">
        <v>1590</v>
      </c>
      <c r="F426" s="267" t="s">
        <v>44</v>
      </c>
      <c r="G426" s="277">
        <v>12</v>
      </c>
      <c r="H426" s="268">
        <v>184.98</v>
      </c>
      <c r="I426" s="287">
        <f>25.55+32.45</f>
        <v>58</v>
      </c>
      <c r="J426" s="268">
        <f t="shared" si="152"/>
        <v>73.58</v>
      </c>
      <c r="K426" s="292">
        <f>H426-I426</f>
        <v>126.98</v>
      </c>
      <c r="L426" s="268">
        <f t="shared" si="153"/>
        <v>161.1</v>
      </c>
      <c r="M426" s="268">
        <f t="shared" si="154"/>
        <v>234.68</v>
      </c>
      <c r="N426" s="268">
        <f t="shared" si="155"/>
        <v>882.96</v>
      </c>
      <c r="O426" s="268">
        <f t="shared" si="156"/>
        <v>1933.2</v>
      </c>
      <c r="P426" s="268">
        <f t="shared" si="157"/>
        <v>2816.16</v>
      </c>
      <c r="Q426" s="269">
        <f t="shared" si="158"/>
        <v>1.1000000000000001E-3</v>
      </c>
      <c r="R426" s="44"/>
      <c r="S426" s="49">
        <f t="shared" si="144"/>
        <v>2219.7600000000002</v>
      </c>
      <c r="T426" s="44"/>
      <c r="U426" s="44"/>
      <c r="V426" s="44"/>
      <c r="W426" s="44"/>
      <c r="X426" s="44"/>
      <c r="Y426" s="44"/>
      <c r="Z426" s="44"/>
      <c r="AA426" s="44"/>
      <c r="AB426" s="44"/>
      <c r="AC426" s="44"/>
      <c r="AD426" s="44"/>
      <c r="AE426" s="44"/>
      <c r="AF426" s="44"/>
      <c r="AG426" s="44"/>
      <c r="AH426" s="44"/>
      <c r="AI426" s="44"/>
      <c r="AJ426" s="44"/>
      <c r="AK426" s="44"/>
      <c r="AL426" s="44"/>
    </row>
    <row r="427" spans="1:38" x14ac:dyDescent="0.25">
      <c r="A427" s="55"/>
      <c r="B427" s="265" t="s">
        <v>1113</v>
      </c>
      <c r="C427" s="266" t="s">
        <v>228</v>
      </c>
      <c r="D427" s="265" t="s">
        <v>40</v>
      </c>
      <c r="E427" s="265" t="s">
        <v>229</v>
      </c>
      <c r="F427" s="267" t="s">
        <v>44</v>
      </c>
      <c r="G427" s="277">
        <v>1</v>
      </c>
      <c r="H427" s="268">
        <f>I427+K427</f>
        <v>142.79</v>
      </c>
      <c r="I427" s="287">
        <v>4.55</v>
      </c>
      <c r="J427" s="268">
        <f t="shared" si="152"/>
        <v>5.77</v>
      </c>
      <c r="K427" s="292">
        <v>138.24</v>
      </c>
      <c r="L427" s="268">
        <f t="shared" si="153"/>
        <v>175.39</v>
      </c>
      <c r="M427" s="268">
        <f t="shared" si="154"/>
        <v>181.16</v>
      </c>
      <c r="N427" s="268">
        <f t="shared" si="155"/>
        <v>5.77</v>
      </c>
      <c r="O427" s="268">
        <f t="shared" si="156"/>
        <v>175.39</v>
      </c>
      <c r="P427" s="268">
        <f t="shared" si="157"/>
        <v>181.16</v>
      </c>
      <c r="Q427" s="269">
        <f t="shared" si="158"/>
        <v>1E-4</v>
      </c>
      <c r="R427" s="44"/>
      <c r="S427" s="49">
        <f t="shared" si="144"/>
        <v>142.79</v>
      </c>
      <c r="T427" s="44"/>
      <c r="U427" s="44"/>
      <c r="V427" s="44"/>
      <c r="W427" s="44"/>
      <c r="X427" s="44"/>
      <c r="Y427" s="44"/>
      <c r="Z427" s="44"/>
      <c r="AA427" s="44"/>
      <c r="AB427" s="44"/>
      <c r="AC427" s="44"/>
      <c r="AD427" s="44"/>
      <c r="AE427" s="44"/>
      <c r="AF427" s="44"/>
      <c r="AG427" s="44"/>
      <c r="AH427" s="44"/>
      <c r="AI427" s="44"/>
      <c r="AJ427" s="44"/>
      <c r="AK427" s="44"/>
      <c r="AL427" s="44"/>
    </row>
    <row r="428" spans="1:38" x14ac:dyDescent="0.25">
      <c r="A428" s="55"/>
      <c r="B428" s="265" t="s">
        <v>1114</v>
      </c>
      <c r="C428" s="266" t="s">
        <v>729</v>
      </c>
      <c r="D428" s="265" t="s">
        <v>40</v>
      </c>
      <c r="E428" s="265" t="s">
        <v>730</v>
      </c>
      <c r="F428" s="267" t="s">
        <v>44</v>
      </c>
      <c r="G428" s="277">
        <v>2</v>
      </c>
      <c r="H428" s="268">
        <f>I428+K428</f>
        <v>170.54</v>
      </c>
      <c r="I428" s="287">
        <v>5.63</v>
      </c>
      <c r="J428" s="268">
        <f t="shared" si="152"/>
        <v>7.14</v>
      </c>
      <c r="K428" s="292">
        <v>164.91</v>
      </c>
      <c r="L428" s="268">
        <f t="shared" si="153"/>
        <v>209.22</v>
      </c>
      <c r="M428" s="268">
        <f t="shared" si="154"/>
        <v>216.36</v>
      </c>
      <c r="N428" s="268">
        <f t="shared" si="155"/>
        <v>14.28</v>
      </c>
      <c r="O428" s="268">
        <f t="shared" si="156"/>
        <v>418.44</v>
      </c>
      <c r="P428" s="268">
        <f t="shared" si="157"/>
        <v>432.72</v>
      </c>
      <c r="Q428" s="269">
        <f t="shared" si="158"/>
        <v>2.0000000000000001E-4</v>
      </c>
      <c r="R428" s="44"/>
      <c r="S428" s="49">
        <f t="shared" si="144"/>
        <v>341.08</v>
      </c>
      <c r="T428" s="44"/>
      <c r="U428" s="44"/>
      <c r="V428" s="44"/>
      <c r="W428" s="44"/>
      <c r="X428" s="44"/>
      <c r="Y428" s="44"/>
      <c r="Z428" s="44"/>
      <c r="AA428" s="44"/>
      <c r="AB428" s="44"/>
      <c r="AC428" s="44"/>
      <c r="AD428" s="44"/>
      <c r="AE428" s="44"/>
      <c r="AF428" s="44"/>
      <c r="AG428" s="44"/>
      <c r="AH428" s="44"/>
      <c r="AI428" s="44"/>
      <c r="AJ428" s="44"/>
      <c r="AK428" s="44"/>
      <c r="AL428" s="44"/>
    </row>
    <row r="429" spans="1:38" x14ac:dyDescent="0.25">
      <c r="A429" s="55"/>
      <c r="B429" s="265" t="s">
        <v>1115</v>
      </c>
      <c r="C429" s="266" t="s">
        <v>731</v>
      </c>
      <c r="D429" s="265" t="s">
        <v>40</v>
      </c>
      <c r="E429" s="265" t="s">
        <v>732</v>
      </c>
      <c r="F429" s="267" t="s">
        <v>44</v>
      </c>
      <c r="G429" s="277">
        <v>31</v>
      </c>
      <c r="H429" s="268">
        <f>I429+K429</f>
        <v>26.5</v>
      </c>
      <c r="I429" s="287">
        <v>6.44</v>
      </c>
      <c r="J429" s="268">
        <f t="shared" si="152"/>
        <v>8.17</v>
      </c>
      <c r="K429" s="292">
        <v>20.059999999999999</v>
      </c>
      <c r="L429" s="268">
        <f t="shared" si="153"/>
        <v>25.45</v>
      </c>
      <c r="M429" s="268">
        <f t="shared" si="154"/>
        <v>33.619999999999997</v>
      </c>
      <c r="N429" s="268">
        <f t="shared" si="155"/>
        <v>253.27</v>
      </c>
      <c r="O429" s="268">
        <f t="shared" si="156"/>
        <v>788.95</v>
      </c>
      <c r="P429" s="268">
        <f t="shared" si="157"/>
        <v>1042.22</v>
      </c>
      <c r="Q429" s="269">
        <f t="shared" si="158"/>
        <v>4.0000000000000002E-4</v>
      </c>
      <c r="R429" s="44"/>
      <c r="S429" s="49">
        <f t="shared" si="144"/>
        <v>821.5</v>
      </c>
      <c r="T429" s="44"/>
      <c r="U429" s="44"/>
      <c r="V429" s="44"/>
      <c r="W429" s="44"/>
      <c r="X429" s="44"/>
      <c r="Y429" s="44"/>
      <c r="Z429" s="44"/>
      <c r="AA429" s="44"/>
      <c r="AB429" s="44"/>
      <c r="AC429" s="44"/>
      <c r="AD429" s="44"/>
      <c r="AE429" s="44"/>
      <c r="AF429" s="44"/>
      <c r="AG429" s="44"/>
      <c r="AH429" s="44"/>
      <c r="AI429" s="44"/>
      <c r="AJ429" s="44"/>
      <c r="AK429" s="44"/>
      <c r="AL429" s="44"/>
    </row>
    <row r="430" spans="1:38" x14ac:dyDescent="0.25">
      <c r="A430" s="55"/>
      <c r="B430" s="265" t="s">
        <v>1116</v>
      </c>
      <c r="C430" s="266" t="s">
        <v>224</v>
      </c>
      <c r="D430" s="265" t="s">
        <v>51</v>
      </c>
      <c r="E430" s="265" t="s">
        <v>225</v>
      </c>
      <c r="F430" s="267" t="s">
        <v>55</v>
      </c>
      <c r="G430" s="277">
        <v>325.60000000000002</v>
      </c>
      <c r="H430" s="268">
        <v>40.950000000000003</v>
      </c>
      <c r="I430" s="287">
        <f>0.47+0.59</f>
        <v>1.06</v>
      </c>
      <c r="J430" s="268">
        <f t="shared" si="152"/>
        <v>1.34</v>
      </c>
      <c r="K430" s="292">
        <f>H430-I430</f>
        <v>39.89</v>
      </c>
      <c r="L430" s="268">
        <f t="shared" si="153"/>
        <v>50.61</v>
      </c>
      <c r="M430" s="268">
        <f t="shared" si="154"/>
        <v>51.95</v>
      </c>
      <c r="N430" s="268">
        <f t="shared" si="155"/>
        <v>436.3</v>
      </c>
      <c r="O430" s="268">
        <f t="shared" si="156"/>
        <v>16478.62</v>
      </c>
      <c r="P430" s="268">
        <f t="shared" si="157"/>
        <v>16914.919999999998</v>
      </c>
      <c r="Q430" s="269">
        <f t="shared" si="158"/>
        <v>6.7000000000000002E-3</v>
      </c>
      <c r="R430" s="44"/>
      <c r="S430" s="49">
        <f t="shared" si="144"/>
        <v>13333.32</v>
      </c>
      <c r="T430" s="44"/>
      <c r="U430" s="44"/>
      <c r="V430" s="44"/>
      <c r="W430" s="44"/>
      <c r="X430" s="44"/>
      <c r="Y430" s="44"/>
      <c r="Z430" s="44"/>
      <c r="AA430" s="44"/>
      <c r="AB430" s="44"/>
      <c r="AC430" s="44"/>
      <c r="AD430" s="44"/>
      <c r="AE430" s="44"/>
      <c r="AF430" s="44"/>
      <c r="AG430" s="44"/>
      <c r="AH430" s="44"/>
      <c r="AI430" s="44"/>
      <c r="AJ430" s="44"/>
      <c r="AK430" s="44"/>
      <c r="AL430" s="44"/>
    </row>
    <row r="431" spans="1:38" x14ac:dyDescent="0.25">
      <c r="A431" s="55"/>
      <c r="B431" s="265" t="s">
        <v>1117</v>
      </c>
      <c r="C431" s="266" t="s">
        <v>226</v>
      </c>
      <c r="D431" s="265" t="s">
        <v>51</v>
      </c>
      <c r="E431" s="265" t="s">
        <v>227</v>
      </c>
      <c r="F431" s="267" t="s">
        <v>55</v>
      </c>
      <c r="G431" s="277">
        <v>132.5</v>
      </c>
      <c r="H431" s="268">
        <v>57.89</v>
      </c>
      <c r="I431" s="287">
        <f>0.47+0.59</f>
        <v>1.06</v>
      </c>
      <c r="J431" s="268">
        <f t="shared" si="152"/>
        <v>1.34</v>
      </c>
      <c r="K431" s="292">
        <f>H431-I431</f>
        <v>56.83</v>
      </c>
      <c r="L431" s="268">
        <f t="shared" si="153"/>
        <v>72.099999999999994</v>
      </c>
      <c r="M431" s="268">
        <f t="shared" si="154"/>
        <v>73.44</v>
      </c>
      <c r="N431" s="268">
        <f t="shared" si="155"/>
        <v>177.55</v>
      </c>
      <c r="O431" s="268">
        <f t="shared" si="156"/>
        <v>9553.25</v>
      </c>
      <c r="P431" s="268">
        <f t="shared" si="157"/>
        <v>9730.7999999999993</v>
      </c>
      <c r="Q431" s="269">
        <f t="shared" si="158"/>
        <v>3.8E-3</v>
      </c>
      <c r="R431" s="44"/>
      <c r="S431" s="49">
        <f t="shared" si="144"/>
        <v>7670.43</v>
      </c>
      <c r="T431" s="44"/>
      <c r="U431" s="44"/>
      <c r="V431" s="44"/>
      <c r="W431" s="44"/>
      <c r="X431" s="44"/>
      <c r="Y431" s="44"/>
      <c r="Z431" s="44"/>
      <c r="AA431" s="44"/>
      <c r="AB431" s="44"/>
      <c r="AC431" s="44"/>
      <c r="AD431" s="44"/>
      <c r="AE431" s="44"/>
      <c r="AF431" s="44"/>
      <c r="AG431" s="44"/>
      <c r="AH431" s="44"/>
      <c r="AI431" s="44"/>
      <c r="AJ431" s="44"/>
      <c r="AK431" s="44"/>
      <c r="AL431" s="44"/>
    </row>
    <row r="432" spans="1:38" ht="27.6" x14ac:dyDescent="0.25">
      <c r="A432" s="55"/>
      <c r="B432" s="265" t="s">
        <v>1118</v>
      </c>
      <c r="C432" s="266" t="s">
        <v>733</v>
      </c>
      <c r="D432" s="265" t="s">
        <v>40</v>
      </c>
      <c r="E432" s="265" t="s">
        <v>734</v>
      </c>
      <c r="F432" s="267" t="s">
        <v>44</v>
      </c>
      <c r="G432" s="277">
        <v>14</v>
      </c>
      <c r="H432" s="268">
        <f>I432+K432</f>
        <v>55.04</v>
      </c>
      <c r="I432" s="287">
        <v>25.27</v>
      </c>
      <c r="J432" s="268">
        <f t="shared" si="152"/>
        <v>32.06</v>
      </c>
      <c r="K432" s="292">
        <v>29.77</v>
      </c>
      <c r="L432" s="268">
        <f t="shared" si="153"/>
        <v>37.770000000000003</v>
      </c>
      <c r="M432" s="268">
        <f t="shared" si="154"/>
        <v>69.83</v>
      </c>
      <c r="N432" s="268">
        <f t="shared" si="155"/>
        <v>448.84</v>
      </c>
      <c r="O432" s="268">
        <f t="shared" si="156"/>
        <v>528.78</v>
      </c>
      <c r="P432" s="268">
        <f t="shared" si="157"/>
        <v>977.62</v>
      </c>
      <c r="Q432" s="269">
        <f t="shared" si="158"/>
        <v>4.0000000000000002E-4</v>
      </c>
      <c r="R432" s="44"/>
      <c r="S432" s="49">
        <f t="shared" si="144"/>
        <v>770.56</v>
      </c>
      <c r="T432" s="44"/>
      <c r="U432" s="44"/>
      <c r="V432" s="44"/>
      <c r="W432" s="44"/>
      <c r="X432" s="44"/>
      <c r="Y432" s="44"/>
      <c r="Z432" s="44"/>
      <c r="AA432" s="44"/>
      <c r="AB432" s="44"/>
      <c r="AC432" s="44"/>
      <c r="AD432" s="44"/>
      <c r="AE432" s="44"/>
      <c r="AF432" s="44"/>
      <c r="AG432" s="44"/>
      <c r="AH432" s="44"/>
      <c r="AI432" s="44"/>
      <c r="AJ432" s="44"/>
      <c r="AK432" s="44"/>
      <c r="AL432" s="44"/>
    </row>
    <row r="433" spans="1:38" x14ac:dyDescent="0.25">
      <c r="A433" s="55"/>
      <c r="B433" s="265" t="s">
        <v>1119</v>
      </c>
      <c r="C433" s="266" t="s">
        <v>735</v>
      </c>
      <c r="D433" s="265" t="s">
        <v>40</v>
      </c>
      <c r="E433" s="265" t="s">
        <v>736</v>
      </c>
      <c r="F433" s="267" t="s">
        <v>44</v>
      </c>
      <c r="G433" s="277">
        <v>20</v>
      </c>
      <c r="H433" s="268">
        <f>I433+K433</f>
        <v>7.52</v>
      </c>
      <c r="I433" s="287">
        <v>1.25</v>
      </c>
      <c r="J433" s="268">
        <f t="shared" si="152"/>
        <v>1.59</v>
      </c>
      <c r="K433" s="292">
        <v>6.27</v>
      </c>
      <c r="L433" s="268">
        <f t="shared" si="153"/>
        <v>7.95</v>
      </c>
      <c r="M433" s="268">
        <f t="shared" si="154"/>
        <v>9.5399999999999991</v>
      </c>
      <c r="N433" s="268">
        <f t="shared" si="155"/>
        <v>31.8</v>
      </c>
      <c r="O433" s="268">
        <f t="shared" si="156"/>
        <v>159</v>
      </c>
      <c r="P433" s="268">
        <f t="shared" si="157"/>
        <v>190.8</v>
      </c>
      <c r="Q433" s="269">
        <f t="shared" si="158"/>
        <v>1E-4</v>
      </c>
      <c r="R433" s="44"/>
      <c r="S433" s="49">
        <f t="shared" si="144"/>
        <v>150.4</v>
      </c>
      <c r="T433" s="44"/>
      <c r="U433" s="44"/>
      <c r="V433" s="44"/>
      <c r="W433" s="44"/>
      <c r="X433" s="44"/>
      <c r="Y433" s="44"/>
      <c r="Z433" s="44"/>
      <c r="AA433" s="44"/>
      <c r="AB433" s="44"/>
      <c r="AC433" s="44"/>
      <c r="AD433" s="44"/>
      <c r="AE433" s="44"/>
      <c r="AF433" s="44"/>
      <c r="AG433" s="44"/>
      <c r="AH433" s="44"/>
      <c r="AI433" s="44"/>
      <c r="AJ433" s="44"/>
      <c r="AK433" s="44"/>
      <c r="AL433" s="44"/>
    </row>
    <row r="434" spans="1:38" x14ac:dyDescent="0.25">
      <c r="A434" s="55"/>
      <c r="B434" s="261">
        <v>17</v>
      </c>
      <c r="C434" s="261"/>
      <c r="D434" s="261"/>
      <c r="E434" s="261" t="s">
        <v>294</v>
      </c>
      <c r="F434" s="261"/>
      <c r="G434" s="276"/>
      <c r="H434" s="262"/>
      <c r="I434" s="286"/>
      <c r="J434" s="261"/>
      <c r="K434" s="291"/>
      <c r="L434" s="261"/>
      <c r="M434" s="261"/>
      <c r="N434" s="261"/>
      <c r="O434" s="261"/>
      <c r="P434" s="263"/>
      <c r="Q434" s="263"/>
      <c r="R434" s="44"/>
      <c r="S434" s="49">
        <f t="shared" si="144"/>
        <v>0</v>
      </c>
      <c r="T434" s="44"/>
      <c r="U434" s="44"/>
      <c r="V434" s="44"/>
      <c r="W434" s="44"/>
      <c r="X434" s="44"/>
      <c r="Y434" s="44"/>
      <c r="Z434" s="44"/>
      <c r="AA434" s="44"/>
      <c r="AB434" s="44"/>
      <c r="AC434" s="44"/>
      <c r="AD434" s="44"/>
      <c r="AE434" s="44"/>
      <c r="AF434" s="44"/>
      <c r="AG434" s="44"/>
      <c r="AH434" s="44"/>
      <c r="AI434" s="44"/>
      <c r="AJ434" s="44"/>
      <c r="AK434" s="44"/>
      <c r="AL434" s="44"/>
    </row>
    <row r="435" spans="1:38" x14ac:dyDescent="0.25">
      <c r="A435" s="55"/>
      <c r="B435" s="261" t="s">
        <v>275</v>
      </c>
      <c r="C435" s="261"/>
      <c r="D435" s="261"/>
      <c r="E435" s="261" t="s">
        <v>674</v>
      </c>
      <c r="F435" s="261"/>
      <c r="G435" s="276"/>
      <c r="H435" s="262"/>
      <c r="I435" s="286"/>
      <c r="J435" s="261"/>
      <c r="K435" s="291"/>
      <c r="L435" s="261"/>
      <c r="M435" s="261"/>
      <c r="N435" s="261"/>
      <c r="O435" s="261"/>
      <c r="P435" s="263"/>
      <c r="Q435" s="263"/>
      <c r="R435" s="44"/>
      <c r="S435" s="49">
        <f t="shared" si="144"/>
        <v>0</v>
      </c>
      <c r="T435" s="44"/>
      <c r="U435" s="44"/>
      <c r="V435" s="44"/>
      <c r="W435" s="44"/>
      <c r="X435" s="44"/>
      <c r="Y435" s="44"/>
      <c r="Z435" s="44"/>
      <c r="AA435" s="44"/>
      <c r="AB435" s="44"/>
      <c r="AC435" s="44"/>
      <c r="AD435" s="44"/>
      <c r="AE435" s="44"/>
      <c r="AF435" s="44"/>
      <c r="AG435" s="44"/>
      <c r="AH435" s="44"/>
      <c r="AI435" s="44"/>
      <c r="AJ435" s="44"/>
      <c r="AK435" s="44"/>
      <c r="AL435" s="44"/>
    </row>
    <row r="436" spans="1:38" ht="27.6" x14ac:dyDescent="0.25">
      <c r="A436" s="55"/>
      <c r="B436" s="265" t="s">
        <v>588</v>
      </c>
      <c r="C436" s="266" t="s">
        <v>1136</v>
      </c>
      <c r="D436" s="265" t="s">
        <v>40</v>
      </c>
      <c r="E436" s="265" t="s">
        <v>1137</v>
      </c>
      <c r="F436" s="267" t="s">
        <v>55</v>
      </c>
      <c r="G436" s="277">
        <v>136</v>
      </c>
      <c r="H436" s="268">
        <f>I436+K436</f>
        <v>30.38</v>
      </c>
      <c r="I436" s="287">
        <v>3.17</v>
      </c>
      <c r="J436" s="268">
        <f t="shared" ref="J436:J447" si="159">I436*(1+$M$9)</f>
        <v>4.0199999999999996</v>
      </c>
      <c r="K436" s="292">
        <v>27.21</v>
      </c>
      <c r="L436" s="268">
        <f t="shared" ref="L436:L447" si="160">K436*(1+$M$9)</f>
        <v>34.520000000000003</v>
      </c>
      <c r="M436" s="268">
        <f t="shared" ref="M436:M447" si="161">L436+J436</f>
        <v>38.54</v>
      </c>
      <c r="N436" s="268">
        <f t="shared" ref="N436:N447" si="162">J436*G436</f>
        <v>546.72</v>
      </c>
      <c r="O436" s="268">
        <f t="shared" ref="O436:O447" si="163">L436*G436</f>
        <v>4694.72</v>
      </c>
      <c r="P436" s="268">
        <f t="shared" ref="P436:P447" si="164">O436+N436</f>
        <v>5241.4399999999996</v>
      </c>
      <c r="Q436" s="269">
        <f t="shared" ref="Q436:Q447" si="165">P436/$O$485</f>
        <v>2.0999999999999999E-3</v>
      </c>
      <c r="R436" s="44"/>
      <c r="S436" s="49">
        <f t="shared" si="144"/>
        <v>4131.68</v>
      </c>
      <c r="T436" s="44"/>
      <c r="U436" s="44"/>
      <c r="V436" s="44"/>
      <c r="W436" s="44"/>
      <c r="X436" s="44"/>
      <c r="Y436" s="44"/>
      <c r="Z436" s="44"/>
      <c r="AA436" s="44"/>
      <c r="AB436" s="44"/>
      <c r="AC436" s="44"/>
      <c r="AD436" s="44"/>
      <c r="AE436" s="44"/>
      <c r="AF436" s="44"/>
      <c r="AG436" s="44"/>
      <c r="AH436" s="44"/>
      <c r="AI436" s="44"/>
      <c r="AJ436" s="44"/>
      <c r="AK436" s="44"/>
      <c r="AL436" s="44"/>
    </row>
    <row r="437" spans="1:38" ht="27.6" x14ac:dyDescent="0.25">
      <c r="A437" s="55"/>
      <c r="B437" s="265" t="s">
        <v>589</v>
      </c>
      <c r="C437" s="266" t="s">
        <v>1138</v>
      </c>
      <c r="D437" s="265" t="s">
        <v>40</v>
      </c>
      <c r="E437" s="265" t="s">
        <v>1139</v>
      </c>
      <c r="F437" s="267" t="s">
        <v>55</v>
      </c>
      <c r="G437" s="277">
        <v>32</v>
      </c>
      <c r="H437" s="268">
        <f>I437+K437</f>
        <v>47</v>
      </c>
      <c r="I437" s="287">
        <v>3.35</v>
      </c>
      <c r="J437" s="268">
        <f t="shared" si="159"/>
        <v>4.25</v>
      </c>
      <c r="K437" s="292">
        <v>43.65</v>
      </c>
      <c r="L437" s="268">
        <f t="shared" si="160"/>
        <v>55.38</v>
      </c>
      <c r="M437" s="268">
        <f t="shared" si="161"/>
        <v>59.63</v>
      </c>
      <c r="N437" s="268">
        <f t="shared" si="162"/>
        <v>136</v>
      </c>
      <c r="O437" s="268">
        <f t="shared" si="163"/>
        <v>1772.16</v>
      </c>
      <c r="P437" s="268">
        <f t="shared" si="164"/>
        <v>1908.16</v>
      </c>
      <c r="Q437" s="269">
        <f t="shared" si="165"/>
        <v>8.0000000000000004E-4</v>
      </c>
      <c r="R437" s="44"/>
      <c r="S437" s="49">
        <f t="shared" si="144"/>
        <v>1504</v>
      </c>
      <c r="T437" s="44"/>
      <c r="U437" s="44"/>
      <c r="V437" s="44"/>
      <c r="W437" s="44"/>
      <c r="X437" s="44"/>
      <c r="Y437" s="44"/>
      <c r="Z437" s="44"/>
      <c r="AA437" s="44"/>
      <c r="AB437" s="44"/>
      <c r="AC437" s="44"/>
      <c r="AD437" s="44"/>
      <c r="AE437" s="44"/>
      <c r="AF437" s="44"/>
      <c r="AG437" s="44"/>
      <c r="AH437" s="44"/>
      <c r="AI437" s="44"/>
      <c r="AJ437" s="44"/>
      <c r="AK437" s="44"/>
      <c r="AL437" s="44"/>
    </row>
    <row r="438" spans="1:38" ht="27.6" x14ac:dyDescent="0.25">
      <c r="A438" s="55"/>
      <c r="B438" s="265" t="s">
        <v>590</v>
      </c>
      <c r="C438" s="266" t="s">
        <v>1140</v>
      </c>
      <c r="D438" s="265" t="s">
        <v>40</v>
      </c>
      <c r="E438" s="265" t="s">
        <v>1141</v>
      </c>
      <c r="F438" s="267" t="s">
        <v>55</v>
      </c>
      <c r="G438" s="277">
        <v>122</v>
      </c>
      <c r="H438" s="268">
        <f>I438+K438</f>
        <v>59.12</v>
      </c>
      <c r="I438" s="287">
        <v>3.56</v>
      </c>
      <c r="J438" s="268">
        <f t="shared" si="159"/>
        <v>4.5199999999999996</v>
      </c>
      <c r="K438" s="292">
        <v>55.56</v>
      </c>
      <c r="L438" s="268">
        <f t="shared" si="160"/>
        <v>70.489999999999995</v>
      </c>
      <c r="M438" s="268">
        <f t="shared" si="161"/>
        <v>75.010000000000005</v>
      </c>
      <c r="N438" s="268">
        <f t="shared" si="162"/>
        <v>551.44000000000005</v>
      </c>
      <c r="O438" s="268">
        <f t="shared" si="163"/>
        <v>8599.7800000000007</v>
      </c>
      <c r="P438" s="268">
        <f t="shared" si="164"/>
        <v>9151.2199999999993</v>
      </c>
      <c r="Q438" s="269">
        <f t="shared" si="165"/>
        <v>3.5999999999999999E-3</v>
      </c>
      <c r="R438" s="44"/>
      <c r="S438" s="49">
        <f t="shared" si="144"/>
        <v>7212.64</v>
      </c>
      <c r="T438" s="44"/>
      <c r="U438" s="44"/>
      <c r="V438" s="44"/>
      <c r="W438" s="44"/>
      <c r="X438" s="44"/>
      <c r="Y438" s="44"/>
      <c r="Z438" s="44"/>
      <c r="AA438" s="44"/>
      <c r="AB438" s="44"/>
      <c r="AC438" s="44"/>
      <c r="AD438" s="44"/>
      <c r="AE438" s="44"/>
      <c r="AF438" s="44"/>
      <c r="AG438" s="44"/>
      <c r="AH438" s="44"/>
      <c r="AI438" s="44"/>
      <c r="AJ438" s="44"/>
      <c r="AK438" s="44"/>
      <c r="AL438" s="44"/>
    </row>
    <row r="439" spans="1:38" ht="27.6" x14ac:dyDescent="0.25">
      <c r="A439" s="55"/>
      <c r="B439" s="265" t="s">
        <v>593</v>
      </c>
      <c r="C439" s="266" t="s">
        <v>738</v>
      </c>
      <c r="D439" s="265" t="s">
        <v>40</v>
      </c>
      <c r="E439" s="265" t="s">
        <v>1142</v>
      </c>
      <c r="F439" s="267" t="s">
        <v>55</v>
      </c>
      <c r="G439" s="277">
        <v>18</v>
      </c>
      <c r="H439" s="268">
        <f>I439+K439</f>
        <v>66.7</v>
      </c>
      <c r="I439" s="287">
        <v>2.1</v>
      </c>
      <c r="J439" s="268">
        <f t="shared" si="159"/>
        <v>2.66</v>
      </c>
      <c r="K439" s="292">
        <v>64.599999999999994</v>
      </c>
      <c r="L439" s="268">
        <f t="shared" si="160"/>
        <v>81.96</v>
      </c>
      <c r="M439" s="268">
        <f t="shared" si="161"/>
        <v>84.62</v>
      </c>
      <c r="N439" s="268">
        <f t="shared" si="162"/>
        <v>47.88</v>
      </c>
      <c r="O439" s="268">
        <f t="shared" si="163"/>
        <v>1475.28</v>
      </c>
      <c r="P439" s="268">
        <f t="shared" si="164"/>
        <v>1523.16</v>
      </c>
      <c r="Q439" s="269">
        <f t="shared" si="165"/>
        <v>5.9999999999999995E-4</v>
      </c>
      <c r="R439" s="44"/>
      <c r="S439" s="49">
        <f t="shared" si="144"/>
        <v>1200.5999999999999</v>
      </c>
      <c r="T439" s="44"/>
      <c r="U439" s="44"/>
      <c r="V439" s="44"/>
      <c r="W439" s="44"/>
      <c r="X439" s="44"/>
      <c r="Y439" s="44"/>
      <c r="Z439" s="44"/>
      <c r="AA439" s="44"/>
      <c r="AB439" s="44"/>
      <c r="AC439" s="44"/>
      <c r="AD439" s="44"/>
      <c r="AE439" s="44"/>
      <c r="AF439" s="44"/>
      <c r="AG439" s="44"/>
      <c r="AH439" s="44"/>
      <c r="AI439" s="44"/>
      <c r="AJ439" s="44"/>
      <c r="AK439" s="44"/>
      <c r="AL439" s="44"/>
    </row>
    <row r="440" spans="1:38" x14ac:dyDescent="0.25">
      <c r="A440" s="55"/>
      <c r="B440" s="265" t="s">
        <v>594</v>
      </c>
      <c r="C440" s="266" t="s">
        <v>1143</v>
      </c>
      <c r="D440" s="265" t="s">
        <v>146</v>
      </c>
      <c r="E440" s="265" t="s">
        <v>1144</v>
      </c>
      <c r="F440" s="267" t="s">
        <v>55</v>
      </c>
      <c r="G440" s="277">
        <v>185</v>
      </c>
      <c r="H440" s="268">
        <v>15.64</v>
      </c>
      <c r="I440" s="287">
        <f>0.41+0.43+2.1+1.5</f>
        <v>4.4400000000000004</v>
      </c>
      <c r="J440" s="268">
        <f t="shared" si="159"/>
        <v>5.63</v>
      </c>
      <c r="K440" s="292">
        <f t="shared" ref="K440:K446" si="166">H440-I440</f>
        <v>11.2</v>
      </c>
      <c r="L440" s="268">
        <f t="shared" si="160"/>
        <v>14.21</v>
      </c>
      <c r="M440" s="268">
        <f t="shared" si="161"/>
        <v>19.84</v>
      </c>
      <c r="N440" s="268">
        <f t="shared" si="162"/>
        <v>1041.55</v>
      </c>
      <c r="O440" s="268">
        <f t="shared" si="163"/>
        <v>2628.85</v>
      </c>
      <c r="P440" s="268">
        <f t="shared" si="164"/>
        <v>3670.4</v>
      </c>
      <c r="Q440" s="269">
        <f t="shared" si="165"/>
        <v>1.5E-3</v>
      </c>
      <c r="R440" s="44"/>
      <c r="S440" s="49">
        <f t="shared" si="144"/>
        <v>2893.4</v>
      </c>
      <c r="T440" s="44"/>
      <c r="U440" s="44"/>
      <c r="V440" s="44"/>
      <c r="W440" s="44"/>
      <c r="X440" s="44"/>
      <c r="Y440" s="44"/>
      <c r="Z440" s="44"/>
      <c r="AA440" s="44"/>
      <c r="AB440" s="44"/>
      <c r="AC440" s="44"/>
      <c r="AD440" s="44"/>
      <c r="AE440" s="44"/>
      <c r="AF440" s="44"/>
      <c r="AG440" s="44"/>
      <c r="AH440" s="44"/>
      <c r="AI440" s="44"/>
      <c r="AJ440" s="44"/>
      <c r="AK440" s="44"/>
      <c r="AL440" s="44"/>
    </row>
    <row r="441" spans="1:38" x14ac:dyDescent="0.25">
      <c r="A441" s="55"/>
      <c r="B441" s="265" t="s">
        <v>595</v>
      </c>
      <c r="C441" s="266" t="s">
        <v>1145</v>
      </c>
      <c r="D441" s="265" t="s">
        <v>51</v>
      </c>
      <c r="E441" s="265" t="s">
        <v>1146</v>
      </c>
      <c r="F441" s="267" t="s">
        <v>44</v>
      </c>
      <c r="G441" s="277">
        <v>20</v>
      </c>
      <c r="H441" s="268">
        <v>388.4</v>
      </c>
      <c r="I441" s="287">
        <f>17.03+25.59</f>
        <v>42.62</v>
      </c>
      <c r="J441" s="268">
        <f t="shared" si="159"/>
        <v>54.07</v>
      </c>
      <c r="K441" s="292">
        <f t="shared" si="166"/>
        <v>345.78</v>
      </c>
      <c r="L441" s="268">
        <f t="shared" si="160"/>
        <v>438.69</v>
      </c>
      <c r="M441" s="268">
        <f t="shared" si="161"/>
        <v>492.76</v>
      </c>
      <c r="N441" s="268">
        <f t="shared" si="162"/>
        <v>1081.4000000000001</v>
      </c>
      <c r="O441" s="268">
        <f t="shared" si="163"/>
        <v>8773.7999999999993</v>
      </c>
      <c r="P441" s="268">
        <f t="shared" si="164"/>
        <v>9855.2000000000007</v>
      </c>
      <c r="Q441" s="269">
        <f t="shared" si="165"/>
        <v>3.8999999999999998E-3</v>
      </c>
      <c r="R441" s="44"/>
      <c r="S441" s="49">
        <f t="shared" si="144"/>
        <v>7768</v>
      </c>
      <c r="T441" s="44"/>
      <c r="U441" s="44"/>
      <c r="V441" s="44"/>
      <c r="W441" s="44"/>
      <c r="X441" s="44"/>
      <c r="Y441" s="44"/>
      <c r="Z441" s="44"/>
      <c r="AA441" s="44"/>
      <c r="AB441" s="44"/>
      <c r="AC441" s="44"/>
      <c r="AD441" s="44"/>
      <c r="AE441" s="44"/>
      <c r="AF441" s="44"/>
      <c r="AG441" s="44"/>
      <c r="AH441" s="44"/>
      <c r="AI441" s="44"/>
      <c r="AJ441" s="44"/>
      <c r="AK441" s="44"/>
      <c r="AL441" s="44"/>
    </row>
    <row r="442" spans="1:38" ht="41.4" x14ac:dyDescent="0.25">
      <c r="A442" s="55"/>
      <c r="B442" s="265" t="s">
        <v>596</v>
      </c>
      <c r="C442" s="266" t="s">
        <v>880</v>
      </c>
      <c r="D442" s="265" t="s">
        <v>551</v>
      </c>
      <c r="E442" s="265" t="s">
        <v>1147</v>
      </c>
      <c r="F442" s="267" t="s">
        <v>65</v>
      </c>
      <c r="G442" s="277">
        <v>485</v>
      </c>
      <c r="H442" s="268">
        <v>67.08</v>
      </c>
      <c r="I442" s="287">
        <f>10.39+2.87+15.48</f>
        <v>28.74</v>
      </c>
      <c r="J442" s="268">
        <f t="shared" si="159"/>
        <v>36.46</v>
      </c>
      <c r="K442" s="292">
        <f t="shared" si="166"/>
        <v>38.340000000000003</v>
      </c>
      <c r="L442" s="268">
        <f t="shared" si="160"/>
        <v>48.64</v>
      </c>
      <c r="M442" s="268">
        <f t="shared" si="161"/>
        <v>85.1</v>
      </c>
      <c r="N442" s="268">
        <f t="shared" si="162"/>
        <v>17683.099999999999</v>
      </c>
      <c r="O442" s="268">
        <f t="shared" si="163"/>
        <v>23590.400000000001</v>
      </c>
      <c r="P442" s="268">
        <f t="shared" si="164"/>
        <v>41273.5</v>
      </c>
      <c r="Q442" s="269">
        <f t="shared" si="165"/>
        <v>1.6299999999999999E-2</v>
      </c>
      <c r="R442" s="44"/>
      <c r="S442" s="49">
        <f t="shared" si="144"/>
        <v>32533.8</v>
      </c>
      <c r="T442" s="44"/>
      <c r="U442" s="44"/>
      <c r="V442" s="44"/>
      <c r="W442" s="44"/>
      <c r="X442" s="44"/>
      <c r="Y442" s="44"/>
      <c r="Z442" s="44"/>
      <c r="AA442" s="44"/>
      <c r="AB442" s="44"/>
      <c r="AC442" s="44"/>
      <c r="AD442" s="44"/>
      <c r="AE442" s="44"/>
      <c r="AF442" s="44"/>
      <c r="AG442" s="44"/>
      <c r="AH442" s="44"/>
      <c r="AI442" s="44"/>
      <c r="AJ442" s="44"/>
      <c r="AK442" s="44"/>
      <c r="AL442" s="44"/>
    </row>
    <row r="443" spans="1:38" x14ac:dyDescent="0.25">
      <c r="A443" s="55"/>
      <c r="B443" s="265" t="s">
        <v>597</v>
      </c>
      <c r="C443" s="266" t="s">
        <v>881</v>
      </c>
      <c r="D443" s="265" t="s">
        <v>51</v>
      </c>
      <c r="E443" s="265" t="s">
        <v>882</v>
      </c>
      <c r="F443" s="267" t="s">
        <v>55</v>
      </c>
      <c r="G443" s="277">
        <v>12</v>
      </c>
      <c r="H443" s="268">
        <v>36.590000000000003</v>
      </c>
      <c r="I443" s="287">
        <f>5.34+6.78</f>
        <v>12.12</v>
      </c>
      <c r="J443" s="268">
        <f t="shared" si="159"/>
        <v>15.38</v>
      </c>
      <c r="K443" s="292">
        <f t="shared" si="166"/>
        <v>24.47</v>
      </c>
      <c r="L443" s="268">
        <f t="shared" si="160"/>
        <v>31.05</v>
      </c>
      <c r="M443" s="268">
        <f t="shared" si="161"/>
        <v>46.43</v>
      </c>
      <c r="N443" s="268">
        <f t="shared" si="162"/>
        <v>184.56</v>
      </c>
      <c r="O443" s="268">
        <f t="shared" si="163"/>
        <v>372.6</v>
      </c>
      <c r="P443" s="268">
        <f t="shared" si="164"/>
        <v>557.16</v>
      </c>
      <c r="Q443" s="269">
        <f t="shared" si="165"/>
        <v>2.0000000000000001E-4</v>
      </c>
      <c r="R443" s="44"/>
      <c r="S443" s="49">
        <f t="shared" si="144"/>
        <v>439.08</v>
      </c>
      <c r="T443" s="44"/>
      <c r="U443" s="44"/>
      <c r="V443" s="44"/>
      <c r="W443" s="44"/>
      <c r="X443" s="44"/>
      <c r="Y443" s="44"/>
      <c r="Z443" s="44"/>
      <c r="AA443" s="44"/>
      <c r="AB443" s="44"/>
      <c r="AC443" s="44"/>
      <c r="AD443" s="44"/>
      <c r="AE443" s="44"/>
      <c r="AF443" s="44"/>
      <c r="AG443" s="44"/>
      <c r="AH443" s="44"/>
      <c r="AI443" s="44"/>
      <c r="AJ443" s="44"/>
      <c r="AK443" s="44"/>
      <c r="AL443" s="44"/>
    </row>
    <row r="444" spans="1:38" x14ac:dyDescent="0.25">
      <c r="A444" s="55"/>
      <c r="B444" s="265" t="s">
        <v>599</v>
      </c>
      <c r="C444" s="266" t="s">
        <v>1148</v>
      </c>
      <c r="D444" s="265" t="s">
        <v>51</v>
      </c>
      <c r="E444" s="265" t="s">
        <v>1149</v>
      </c>
      <c r="F444" s="267" t="s">
        <v>55</v>
      </c>
      <c r="G444" s="277">
        <v>52</v>
      </c>
      <c r="H444" s="268">
        <v>28.36</v>
      </c>
      <c r="I444" s="287">
        <f>5.34+6.78</f>
        <v>12.12</v>
      </c>
      <c r="J444" s="268">
        <f t="shared" si="159"/>
        <v>15.38</v>
      </c>
      <c r="K444" s="292">
        <f t="shared" si="166"/>
        <v>16.239999999999998</v>
      </c>
      <c r="L444" s="268">
        <f t="shared" si="160"/>
        <v>20.6</v>
      </c>
      <c r="M444" s="268">
        <f t="shared" si="161"/>
        <v>35.979999999999997</v>
      </c>
      <c r="N444" s="268">
        <f t="shared" si="162"/>
        <v>799.76</v>
      </c>
      <c r="O444" s="268">
        <f t="shared" si="163"/>
        <v>1071.2</v>
      </c>
      <c r="P444" s="268">
        <f t="shared" si="164"/>
        <v>1870.96</v>
      </c>
      <c r="Q444" s="269">
        <f t="shared" si="165"/>
        <v>6.9999999999999999E-4</v>
      </c>
      <c r="R444" s="44"/>
      <c r="S444" s="49">
        <f t="shared" si="144"/>
        <v>1474.72</v>
      </c>
      <c r="T444" s="44"/>
      <c r="U444" s="44"/>
      <c r="V444" s="44"/>
      <c r="W444" s="44"/>
      <c r="X444" s="44"/>
      <c r="Y444" s="44"/>
      <c r="Z444" s="44"/>
      <c r="AA444" s="44"/>
      <c r="AB444" s="44"/>
      <c r="AC444" s="44"/>
      <c r="AD444" s="44"/>
      <c r="AE444" s="44"/>
      <c r="AF444" s="44"/>
      <c r="AG444" s="44"/>
      <c r="AH444" s="44"/>
      <c r="AI444" s="44"/>
      <c r="AJ444" s="44"/>
      <c r="AK444" s="44"/>
      <c r="AL444" s="44"/>
    </row>
    <row r="445" spans="1:38" x14ac:dyDescent="0.25">
      <c r="A445" s="55"/>
      <c r="B445" s="265" t="s">
        <v>600</v>
      </c>
      <c r="C445" s="266" t="s">
        <v>1150</v>
      </c>
      <c r="D445" s="265" t="s">
        <v>146</v>
      </c>
      <c r="E445" s="265" t="s">
        <v>1151</v>
      </c>
      <c r="F445" s="267" t="s">
        <v>168</v>
      </c>
      <c r="G445" s="277">
        <v>74</v>
      </c>
      <c r="H445" s="268">
        <v>84.69</v>
      </c>
      <c r="I445" s="287">
        <f>1.5+1.56+7.65+5.46</f>
        <v>16.170000000000002</v>
      </c>
      <c r="J445" s="268">
        <f t="shared" si="159"/>
        <v>20.51</v>
      </c>
      <c r="K445" s="292">
        <f t="shared" si="166"/>
        <v>68.52</v>
      </c>
      <c r="L445" s="268">
        <f t="shared" si="160"/>
        <v>86.93</v>
      </c>
      <c r="M445" s="268">
        <f t="shared" si="161"/>
        <v>107.44</v>
      </c>
      <c r="N445" s="268">
        <f t="shared" si="162"/>
        <v>1517.74</v>
      </c>
      <c r="O445" s="268">
        <f t="shared" si="163"/>
        <v>6432.82</v>
      </c>
      <c r="P445" s="268">
        <f t="shared" si="164"/>
        <v>7950.56</v>
      </c>
      <c r="Q445" s="269">
        <f t="shared" si="165"/>
        <v>3.0999999999999999E-3</v>
      </c>
      <c r="R445" s="44"/>
      <c r="S445" s="49">
        <f t="shared" si="144"/>
        <v>6267.06</v>
      </c>
      <c r="T445" s="44"/>
      <c r="U445" s="44"/>
      <c r="V445" s="44"/>
      <c r="W445" s="44"/>
      <c r="X445" s="44"/>
      <c r="Y445" s="44"/>
      <c r="Z445" s="44"/>
      <c r="AA445" s="44"/>
      <c r="AB445" s="44"/>
      <c r="AC445" s="44"/>
      <c r="AD445" s="44"/>
      <c r="AE445" s="44"/>
      <c r="AF445" s="44"/>
      <c r="AG445" s="44"/>
      <c r="AH445" s="44"/>
      <c r="AI445" s="44"/>
      <c r="AJ445" s="44"/>
      <c r="AK445" s="44"/>
      <c r="AL445" s="44"/>
    </row>
    <row r="446" spans="1:38" x14ac:dyDescent="0.25">
      <c r="A446" s="55"/>
      <c r="B446" s="265" t="s">
        <v>603</v>
      </c>
      <c r="C446" s="266" t="s">
        <v>1152</v>
      </c>
      <c r="D446" s="265" t="s">
        <v>146</v>
      </c>
      <c r="E446" s="265" t="s">
        <v>1153</v>
      </c>
      <c r="F446" s="267" t="s">
        <v>168</v>
      </c>
      <c r="G446" s="277">
        <v>48</v>
      </c>
      <c r="H446" s="268">
        <v>2.25</v>
      </c>
      <c r="I446" s="287">
        <f>0.19+0.2+0.96+0.68</f>
        <v>2.0299999999999998</v>
      </c>
      <c r="J446" s="268">
        <f t="shared" si="159"/>
        <v>2.58</v>
      </c>
      <c r="K446" s="292">
        <f t="shared" si="166"/>
        <v>0.22</v>
      </c>
      <c r="L446" s="268">
        <f t="shared" si="160"/>
        <v>0.28000000000000003</v>
      </c>
      <c r="M446" s="268">
        <f t="shared" si="161"/>
        <v>2.86</v>
      </c>
      <c r="N446" s="268">
        <f t="shared" si="162"/>
        <v>123.84</v>
      </c>
      <c r="O446" s="268">
        <f t="shared" si="163"/>
        <v>13.44</v>
      </c>
      <c r="P446" s="268">
        <f t="shared" si="164"/>
        <v>137.28</v>
      </c>
      <c r="Q446" s="269">
        <f t="shared" si="165"/>
        <v>1E-4</v>
      </c>
      <c r="R446" s="44"/>
      <c r="S446" s="49">
        <f t="shared" si="144"/>
        <v>108</v>
      </c>
      <c r="T446" s="44"/>
      <c r="U446" s="44"/>
      <c r="V446" s="44"/>
      <c r="W446" s="44"/>
      <c r="X446" s="44"/>
      <c r="Y446" s="44"/>
      <c r="Z446" s="44"/>
      <c r="AA446" s="44"/>
      <c r="AB446" s="44"/>
      <c r="AC446" s="44"/>
      <c r="AD446" s="44"/>
      <c r="AE446" s="44"/>
      <c r="AF446" s="44"/>
      <c r="AG446" s="44"/>
      <c r="AH446" s="44"/>
      <c r="AI446" s="44"/>
      <c r="AJ446" s="44"/>
      <c r="AK446" s="44"/>
      <c r="AL446" s="44"/>
    </row>
    <row r="447" spans="1:38" ht="27.6" x14ac:dyDescent="0.25">
      <c r="A447" s="55"/>
      <c r="B447" s="265" t="s">
        <v>604</v>
      </c>
      <c r="C447" s="266" t="s">
        <v>883</v>
      </c>
      <c r="D447" s="265" t="s">
        <v>40</v>
      </c>
      <c r="E447" s="265" t="s">
        <v>884</v>
      </c>
      <c r="F447" s="267" t="s">
        <v>55</v>
      </c>
      <c r="G447" s="277">
        <v>18</v>
      </c>
      <c r="H447" s="268">
        <f>I447+K447</f>
        <v>25.03</v>
      </c>
      <c r="I447" s="287">
        <v>5.68</v>
      </c>
      <c r="J447" s="268">
        <f t="shared" si="159"/>
        <v>7.21</v>
      </c>
      <c r="K447" s="292">
        <v>19.350000000000001</v>
      </c>
      <c r="L447" s="268">
        <f t="shared" si="160"/>
        <v>24.55</v>
      </c>
      <c r="M447" s="268">
        <f t="shared" si="161"/>
        <v>31.76</v>
      </c>
      <c r="N447" s="268">
        <f t="shared" si="162"/>
        <v>129.78</v>
      </c>
      <c r="O447" s="268">
        <f t="shared" si="163"/>
        <v>441.9</v>
      </c>
      <c r="P447" s="268">
        <f t="shared" si="164"/>
        <v>571.67999999999995</v>
      </c>
      <c r="Q447" s="269">
        <f t="shared" si="165"/>
        <v>2.0000000000000001E-4</v>
      </c>
      <c r="R447" s="44"/>
      <c r="S447" s="49">
        <f t="shared" si="144"/>
        <v>450.54</v>
      </c>
      <c r="T447" s="44"/>
      <c r="U447" s="44"/>
      <c r="V447" s="44"/>
      <c r="W447" s="44"/>
      <c r="X447" s="44"/>
      <c r="Y447" s="44"/>
      <c r="Z447" s="44"/>
      <c r="AA447" s="44"/>
      <c r="AB447" s="44"/>
      <c r="AC447" s="44"/>
      <c r="AD447" s="44"/>
      <c r="AE447" s="44"/>
      <c r="AF447" s="44"/>
      <c r="AG447" s="44"/>
      <c r="AH447" s="44"/>
      <c r="AI447" s="44"/>
      <c r="AJ447" s="44"/>
      <c r="AK447" s="44"/>
      <c r="AL447" s="44"/>
    </row>
    <row r="448" spans="1:38" x14ac:dyDescent="0.25">
      <c r="A448" s="55"/>
      <c r="B448" s="261" t="s">
        <v>276</v>
      </c>
      <c r="C448" s="261"/>
      <c r="D448" s="261"/>
      <c r="E448" s="261" t="s">
        <v>577</v>
      </c>
      <c r="F448" s="261"/>
      <c r="G448" s="276"/>
      <c r="H448" s="262"/>
      <c r="I448" s="286"/>
      <c r="J448" s="261"/>
      <c r="K448" s="291"/>
      <c r="L448" s="261"/>
      <c r="M448" s="261"/>
      <c r="N448" s="261"/>
      <c r="O448" s="261"/>
      <c r="P448" s="263"/>
      <c r="Q448" s="263"/>
      <c r="R448" s="44"/>
      <c r="S448" s="49">
        <f t="shared" si="144"/>
        <v>0</v>
      </c>
      <c r="T448" s="44"/>
      <c r="U448" s="44"/>
      <c r="V448" s="44"/>
      <c r="W448" s="44"/>
      <c r="X448" s="44"/>
      <c r="Y448" s="44"/>
      <c r="Z448" s="44"/>
      <c r="AA448" s="44"/>
      <c r="AB448" s="44"/>
      <c r="AC448" s="44"/>
      <c r="AD448" s="44"/>
      <c r="AE448" s="44"/>
      <c r="AF448" s="44"/>
      <c r="AG448" s="44"/>
      <c r="AH448" s="44"/>
      <c r="AI448" s="44"/>
      <c r="AJ448" s="44"/>
      <c r="AK448" s="44"/>
      <c r="AL448" s="44"/>
    </row>
    <row r="449" spans="1:38" x14ac:dyDescent="0.25">
      <c r="A449" s="55"/>
      <c r="B449" s="265" t="s">
        <v>641</v>
      </c>
      <c r="C449" s="266" t="s">
        <v>1154</v>
      </c>
      <c r="D449" s="265" t="s">
        <v>51</v>
      </c>
      <c r="E449" s="265" t="s">
        <v>1155</v>
      </c>
      <c r="F449" s="267" t="s">
        <v>44</v>
      </c>
      <c r="G449" s="277">
        <v>1</v>
      </c>
      <c r="H449" s="268">
        <v>6756.93</v>
      </c>
      <c r="I449" s="287">
        <f>41.26+60.18</f>
        <v>101.44</v>
      </c>
      <c r="J449" s="268">
        <f>I449*(1+$M$12)</f>
        <v>120.78</v>
      </c>
      <c r="K449" s="292">
        <f>H449-I449</f>
        <v>6655.49</v>
      </c>
      <c r="L449" s="268">
        <f>K449*(1+$M$12)</f>
        <v>7924.69</v>
      </c>
      <c r="M449" s="268">
        <f>L449+J449</f>
        <v>8045.47</v>
      </c>
      <c r="N449" s="268">
        <f>J449*G449</f>
        <v>120.78</v>
      </c>
      <c r="O449" s="268">
        <f>L449*G449</f>
        <v>7924.69</v>
      </c>
      <c r="P449" s="268">
        <f>O449+N449</f>
        <v>8045.47</v>
      </c>
      <c r="Q449" s="269">
        <f>P449/$O$485</f>
        <v>3.2000000000000002E-3</v>
      </c>
      <c r="R449" s="44"/>
      <c r="S449" s="49">
        <f t="shared" si="144"/>
        <v>6756.93</v>
      </c>
      <c r="T449" s="44"/>
      <c r="U449" s="44"/>
      <c r="V449" s="44"/>
      <c r="W449" s="44"/>
      <c r="X449" s="44"/>
      <c r="Y449" s="44"/>
      <c r="Z449" s="44"/>
      <c r="AA449" s="44"/>
      <c r="AB449" s="44"/>
      <c r="AC449" s="44"/>
      <c r="AD449" s="44"/>
      <c r="AE449" s="44"/>
      <c r="AF449" s="44"/>
      <c r="AG449" s="44"/>
      <c r="AH449" s="44"/>
      <c r="AI449" s="44"/>
      <c r="AJ449" s="44"/>
      <c r="AK449" s="44"/>
      <c r="AL449" s="44"/>
    </row>
    <row r="450" spans="1:38" x14ac:dyDescent="0.25">
      <c r="A450" s="55"/>
      <c r="B450" s="265" t="s">
        <v>642</v>
      </c>
      <c r="C450" s="266" t="s">
        <v>1156</v>
      </c>
      <c r="D450" s="265" t="s">
        <v>51</v>
      </c>
      <c r="E450" s="265" t="s">
        <v>1157</v>
      </c>
      <c r="F450" s="267" t="s">
        <v>44</v>
      </c>
      <c r="G450" s="277">
        <v>1</v>
      </c>
      <c r="H450" s="268">
        <v>5283.02</v>
      </c>
      <c r="I450" s="287">
        <f>43.94+64.09</f>
        <v>108.03</v>
      </c>
      <c r="J450" s="268">
        <f>I450*(1+$M$12)</f>
        <v>128.63</v>
      </c>
      <c r="K450" s="292">
        <f>H450-I450</f>
        <v>5174.99</v>
      </c>
      <c r="L450" s="268">
        <f>K450*(1+$M$12)</f>
        <v>6161.86</v>
      </c>
      <c r="M450" s="268">
        <f>L450+J450</f>
        <v>6290.49</v>
      </c>
      <c r="N450" s="268">
        <f>J450*G450</f>
        <v>128.63</v>
      </c>
      <c r="O450" s="268">
        <f>L450*G450</f>
        <v>6161.86</v>
      </c>
      <c r="P450" s="268">
        <f>O450+N450</f>
        <v>6290.49</v>
      </c>
      <c r="Q450" s="269">
        <f>P450/$O$485</f>
        <v>2.5000000000000001E-3</v>
      </c>
      <c r="R450" s="44"/>
      <c r="S450" s="49">
        <f t="shared" si="144"/>
        <v>5283.02</v>
      </c>
      <c r="T450" s="44"/>
      <c r="U450" s="44"/>
      <c r="V450" s="44"/>
      <c r="W450" s="44"/>
      <c r="X450" s="44"/>
      <c r="Y450" s="44"/>
      <c r="Z450" s="44"/>
      <c r="AA450" s="44"/>
      <c r="AB450" s="44"/>
      <c r="AC450" s="44"/>
      <c r="AD450" s="44"/>
      <c r="AE450" s="44"/>
      <c r="AF450" s="44"/>
      <c r="AG450" s="44"/>
      <c r="AH450" s="44"/>
      <c r="AI450" s="44"/>
      <c r="AJ450" s="44"/>
      <c r="AK450" s="44"/>
      <c r="AL450" s="44"/>
    </row>
    <row r="451" spans="1:38" x14ac:dyDescent="0.25">
      <c r="A451" s="55"/>
      <c r="B451" s="265" t="s">
        <v>643</v>
      </c>
      <c r="C451" s="266" t="s">
        <v>1158</v>
      </c>
      <c r="D451" s="265" t="s">
        <v>51</v>
      </c>
      <c r="E451" s="265" t="s">
        <v>1159</v>
      </c>
      <c r="F451" s="267" t="s">
        <v>44</v>
      </c>
      <c r="G451" s="277">
        <v>3</v>
      </c>
      <c r="H451" s="268">
        <v>3684.59</v>
      </c>
      <c r="I451" s="287">
        <f>66.77+106.04</f>
        <v>172.81</v>
      </c>
      <c r="J451" s="268">
        <f>I451*(1+$M$12)</f>
        <v>205.76</v>
      </c>
      <c r="K451" s="292">
        <f>H451-I451</f>
        <v>3511.78</v>
      </c>
      <c r="L451" s="268">
        <f>K451*(1+$M$12)</f>
        <v>4181.4799999999996</v>
      </c>
      <c r="M451" s="268">
        <f>L451+J451</f>
        <v>4387.24</v>
      </c>
      <c r="N451" s="268">
        <f>J451*G451</f>
        <v>617.28</v>
      </c>
      <c r="O451" s="268">
        <f>L451*G451</f>
        <v>12544.44</v>
      </c>
      <c r="P451" s="268">
        <f>O451+N451</f>
        <v>13161.72</v>
      </c>
      <c r="Q451" s="269">
        <f>P451/$O$485</f>
        <v>5.1999999999999998E-3</v>
      </c>
      <c r="R451" s="44"/>
      <c r="S451" s="49">
        <f t="shared" si="144"/>
        <v>11053.77</v>
      </c>
      <c r="T451" s="44"/>
      <c r="U451" s="44"/>
      <c r="V451" s="44"/>
      <c r="W451" s="44"/>
      <c r="X451" s="44"/>
      <c r="Y451" s="44"/>
      <c r="Z451" s="44"/>
      <c r="AA451" s="44"/>
      <c r="AB451" s="44"/>
      <c r="AC451" s="44"/>
      <c r="AD451" s="44"/>
      <c r="AE451" s="44"/>
      <c r="AF451" s="44"/>
      <c r="AG451" s="44"/>
      <c r="AH451" s="44"/>
      <c r="AI451" s="44"/>
      <c r="AJ451" s="44"/>
      <c r="AK451" s="44"/>
      <c r="AL451" s="44"/>
    </row>
    <row r="452" spans="1:38" x14ac:dyDescent="0.25">
      <c r="A452" s="55"/>
      <c r="B452" s="265" t="s">
        <v>1434</v>
      </c>
      <c r="C452" s="266" t="s">
        <v>1435</v>
      </c>
      <c r="D452" s="265" t="s">
        <v>51</v>
      </c>
      <c r="E452" s="265" t="s">
        <v>1436</v>
      </c>
      <c r="F452" s="267" t="s">
        <v>44</v>
      </c>
      <c r="G452" s="277">
        <v>1</v>
      </c>
      <c r="H452" s="268">
        <v>206.05</v>
      </c>
      <c r="I452" s="287">
        <f>13.35+21.21</f>
        <v>34.56</v>
      </c>
      <c r="J452" s="268">
        <f>I452*(1+$M$12)</f>
        <v>41.15</v>
      </c>
      <c r="K452" s="292">
        <f>H452-I452</f>
        <v>171.49</v>
      </c>
      <c r="L452" s="268">
        <f>K452*(1+$M$12)</f>
        <v>204.19</v>
      </c>
      <c r="M452" s="268">
        <f>L452+J452</f>
        <v>245.34</v>
      </c>
      <c r="N452" s="268">
        <f>J452*G452</f>
        <v>41.15</v>
      </c>
      <c r="O452" s="268">
        <f>L452*G452</f>
        <v>204.19</v>
      </c>
      <c r="P452" s="268">
        <f>O452+N452</f>
        <v>245.34</v>
      </c>
      <c r="Q452" s="269">
        <f>P452/$O$485</f>
        <v>1E-4</v>
      </c>
      <c r="R452" s="44"/>
      <c r="S452" s="49">
        <f t="shared" si="144"/>
        <v>206.05</v>
      </c>
      <c r="T452" s="44"/>
      <c r="U452" s="44"/>
      <c r="V452" s="44"/>
      <c r="W452" s="44"/>
      <c r="X452" s="44"/>
      <c r="Y452" s="44"/>
      <c r="Z452" s="44"/>
      <c r="AA452" s="44"/>
      <c r="AB452" s="44"/>
      <c r="AC452" s="44"/>
      <c r="AD452" s="44"/>
      <c r="AE452" s="44"/>
      <c r="AF452" s="44"/>
      <c r="AG452" s="44"/>
      <c r="AH452" s="44"/>
      <c r="AI452" s="44"/>
      <c r="AJ452" s="44"/>
      <c r="AK452" s="44"/>
      <c r="AL452" s="44"/>
    </row>
    <row r="453" spans="1:38" x14ac:dyDescent="0.25">
      <c r="A453" s="55"/>
      <c r="B453" s="261">
        <v>18</v>
      </c>
      <c r="C453" s="261"/>
      <c r="D453" s="261"/>
      <c r="E453" s="261" t="s">
        <v>295</v>
      </c>
      <c r="F453" s="261"/>
      <c r="G453" s="276"/>
      <c r="H453" s="262"/>
      <c r="I453" s="286"/>
      <c r="J453" s="261"/>
      <c r="K453" s="291"/>
      <c r="L453" s="261"/>
      <c r="M453" s="261"/>
      <c r="N453" s="261"/>
      <c r="O453" s="261"/>
      <c r="P453" s="263"/>
      <c r="Q453" s="263"/>
      <c r="R453" s="44"/>
      <c r="S453" s="49">
        <f t="shared" si="144"/>
        <v>0</v>
      </c>
      <c r="T453" s="44"/>
      <c r="U453" s="44"/>
      <c r="V453" s="44"/>
      <c r="W453" s="44"/>
      <c r="X453" s="44"/>
      <c r="Y453" s="44"/>
      <c r="Z453" s="44"/>
      <c r="AA453" s="44"/>
      <c r="AB453" s="44"/>
      <c r="AC453" s="44"/>
      <c r="AD453" s="44"/>
      <c r="AE453" s="44"/>
      <c r="AF453" s="44"/>
      <c r="AG453" s="44"/>
      <c r="AH453" s="44"/>
      <c r="AI453" s="44"/>
      <c r="AJ453" s="44"/>
      <c r="AK453" s="44"/>
      <c r="AL453" s="44"/>
    </row>
    <row r="454" spans="1:38" ht="27.6" x14ac:dyDescent="0.25">
      <c r="A454" s="55"/>
      <c r="B454" s="265" t="s">
        <v>280</v>
      </c>
      <c r="C454" s="266" t="s">
        <v>340</v>
      </c>
      <c r="D454" s="265" t="s">
        <v>40</v>
      </c>
      <c r="E454" s="265" t="s">
        <v>341</v>
      </c>
      <c r="F454" s="267" t="s">
        <v>44</v>
      </c>
      <c r="G454" s="277">
        <v>33</v>
      </c>
      <c r="H454" s="268">
        <f>I454+K454</f>
        <v>16.829999999999998</v>
      </c>
      <c r="I454" s="287">
        <v>10.029999999999999</v>
      </c>
      <c r="J454" s="268">
        <f t="shared" ref="J454:J460" si="167">I454*(1+$M$9)</f>
        <v>12.73</v>
      </c>
      <c r="K454" s="292">
        <v>6.8</v>
      </c>
      <c r="L454" s="268">
        <f t="shared" ref="L454:L460" si="168">K454*(1+$M$9)</f>
        <v>8.6300000000000008</v>
      </c>
      <c r="M454" s="268">
        <f t="shared" ref="M454:M460" si="169">L454+J454</f>
        <v>21.36</v>
      </c>
      <c r="N454" s="268">
        <f t="shared" ref="N454:N460" si="170">J454*G454</f>
        <v>420.09</v>
      </c>
      <c r="O454" s="268">
        <f t="shared" ref="O454:O460" si="171">L454*G454</f>
        <v>284.79000000000002</v>
      </c>
      <c r="P454" s="268">
        <f t="shared" ref="P454:P460" si="172">O454+N454</f>
        <v>704.88</v>
      </c>
      <c r="Q454" s="269">
        <f t="shared" ref="Q454:Q460" si="173">P454/$O$485</f>
        <v>2.9999999999999997E-4</v>
      </c>
      <c r="R454" s="44"/>
      <c r="S454" s="49">
        <f t="shared" si="144"/>
        <v>555.39</v>
      </c>
      <c r="T454" s="44"/>
      <c r="U454" s="44"/>
      <c r="V454" s="44"/>
      <c r="W454" s="44"/>
      <c r="X454" s="44"/>
      <c r="Y454" s="44"/>
      <c r="Z454" s="44"/>
      <c r="AA454" s="44"/>
      <c r="AB454" s="44"/>
      <c r="AC454" s="44"/>
      <c r="AD454" s="44"/>
      <c r="AE454" s="44"/>
      <c r="AF454" s="44"/>
      <c r="AG454" s="44"/>
      <c r="AH454" s="44"/>
      <c r="AI454" s="44"/>
      <c r="AJ454" s="44"/>
      <c r="AK454" s="44"/>
      <c r="AL454" s="44"/>
    </row>
    <row r="455" spans="1:38" x14ac:dyDescent="0.25">
      <c r="A455" s="55"/>
      <c r="B455" s="265" t="s">
        <v>283</v>
      </c>
      <c r="C455" s="266" t="s">
        <v>688</v>
      </c>
      <c r="D455" s="265" t="s">
        <v>51</v>
      </c>
      <c r="E455" s="265" t="s">
        <v>689</v>
      </c>
      <c r="F455" s="267" t="s">
        <v>44</v>
      </c>
      <c r="G455" s="277">
        <v>4</v>
      </c>
      <c r="H455" s="268">
        <v>209.66</v>
      </c>
      <c r="I455" s="287">
        <f>20.04+25.45</f>
        <v>45.49</v>
      </c>
      <c r="J455" s="268">
        <f t="shared" si="167"/>
        <v>57.71</v>
      </c>
      <c r="K455" s="292">
        <f>H455-I455</f>
        <v>164.17</v>
      </c>
      <c r="L455" s="268">
        <f t="shared" si="168"/>
        <v>208.28</v>
      </c>
      <c r="M455" s="268">
        <f t="shared" si="169"/>
        <v>265.99</v>
      </c>
      <c r="N455" s="268">
        <f t="shared" si="170"/>
        <v>230.84</v>
      </c>
      <c r="O455" s="268">
        <f t="shared" si="171"/>
        <v>833.12</v>
      </c>
      <c r="P455" s="268">
        <f t="shared" si="172"/>
        <v>1063.96</v>
      </c>
      <c r="Q455" s="269">
        <f t="shared" si="173"/>
        <v>4.0000000000000002E-4</v>
      </c>
      <c r="R455" s="44"/>
      <c r="S455" s="49">
        <f t="shared" si="144"/>
        <v>838.64</v>
      </c>
      <c r="T455" s="44"/>
      <c r="U455" s="44"/>
      <c r="V455" s="44"/>
      <c r="W455" s="44"/>
      <c r="X455" s="44"/>
      <c r="Y455" s="44"/>
      <c r="Z455" s="44"/>
      <c r="AA455" s="44"/>
      <c r="AB455" s="44"/>
      <c r="AC455" s="44"/>
      <c r="AD455" s="44"/>
      <c r="AE455" s="44"/>
      <c r="AF455" s="44"/>
      <c r="AG455" s="44"/>
      <c r="AH455" s="44"/>
      <c r="AI455" s="44"/>
      <c r="AJ455" s="44"/>
      <c r="AK455" s="44"/>
      <c r="AL455" s="44"/>
    </row>
    <row r="456" spans="1:38" x14ac:dyDescent="0.25">
      <c r="A456" s="55"/>
      <c r="B456" s="265" t="s">
        <v>1334</v>
      </c>
      <c r="C456" s="266" t="s">
        <v>296</v>
      </c>
      <c r="D456" s="265" t="s">
        <v>40</v>
      </c>
      <c r="E456" s="265" t="s">
        <v>297</v>
      </c>
      <c r="F456" s="267" t="s">
        <v>44</v>
      </c>
      <c r="G456" s="277">
        <v>18</v>
      </c>
      <c r="H456" s="268">
        <f>I456+K456</f>
        <v>42.1</v>
      </c>
      <c r="I456" s="287">
        <v>6.97</v>
      </c>
      <c r="J456" s="268">
        <f t="shared" si="167"/>
        <v>8.84</v>
      </c>
      <c r="K456" s="292">
        <v>35.130000000000003</v>
      </c>
      <c r="L456" s="268">
        <f t="shared" si="168"/>
        <v>44.57</v>
      </c>
      <c r="M456" s="268">
        <f t="shared" si="169"/>
        <v>53.41</v>
      </c>
      <c r="N456" s="268">
        <f t="shared" si="170"/>
        <v>159.12</v>
      </c>
      <c r="O456" s="268">
        <f t="shared" si="171"/>
        <v>802.26</v>
      </c>
      <c r="P456" s="268">
        <f t="shared" si="172"/>
        <v>961.38</v>
      </c>
      <c r="Q456" s="269">
        <f t="shared" si="173"/>
        <v>4.0000000000000002E-4</v>
      </c>
      <c r="R456" s="44"/>
      <c r="S456" s="49">
        <f t="shared" si="144"/>
        <v>757.8</v>
      </c>
      <c r="T456" s="44"/>
      <c r="U456" s="44"/>
      <c r="V456" s="44"/>
      <c r="W456" s="44"/>
      <c r="X456" s="44"/>
      <c r="Y456" s="44"/>
      <c r="Z456" s="44"/>
      <c r="AA456" s="44"/>
      <c r="AB456" s="44"/>
      <c r="AC456" s="44"/>
      <c r="AD456" s="44"/>
      <c r="AE456" s="44"/>
      <c r="AF456" s="44"/>
      <c r="AG456" s="44"/>
      <c r="AH456" s="44"/>
      <c r="AI456" s="44"/>
      <c r="AJ456" s="44"/>
      <c r="AK456" s="44"/>
      <c r="AL456" s="44"/>
    </row>
    <row r="457" spans="1:38" ht="27.6" x14ac:dyDescent="0.25">
      <c r="A457" s="55"/>
      <c r="B457" s="265" t="s">
        <v>1335</v>
      </c>
      <c r="C457" s="266" t="s">
        <v>711</v>
      </c>
      <c r="D457" s="265" t="s">
        <v>40</v>
      </c>
      <c r="E457" s="265" t="s">
        <v>712</v>
      </c>
      <c r="F457" s="267" t="s">
        <v>55</v>
      </c>
      <c r="G457" s="277">
        <v>82</v>
      </c>
      <c r="H457" s="268">
        <f>I457+K457</f>
        <v>25.17</v>
      </c>
      <c r="I457" s="287">
        <v>8.17</v>
      </c>
      <c r="J457" s="268">
        <f t="shared" si="167"/>
        <v>10.37</v>
      </c>
      <c r="K457" s="292">
        <v>17</v>
      </c>
      <c r="L457" s="268">
        <f t="shared" si="168"/>
        <v>21.57</v>
      </c>
      <c r="M457" s="268">
        <f t="shared" si="169"/>
        <v>31.94</v>
      </c>
      <c r="N457" s="268">
        <f t="shared" si="170"/>
        <v>850.34</v>
      </c>
      <c r="O457" s="268">
        <f t="shared" si="171"/>
        <v>1768.74</v>
      </c>
      <c r="P457" s="268">
        <f t="shared" si="172"/>
        <v>2619.08</v>
      </c>
      <c r="Q457" s="269">
        <f t="shared" si="173"/>
        <v>1E-3</v>
      </c>
      <c r="R457" s="44"/>
      <c r="S457" s="49">
        <f t="shared" si="144"/>
        <v>2063.94</v>
      </c>
      <c r="T457" s="44"/>
      <c r="U457" s="44"/>
      <c r="V457" s="44"/>
      <c r="W457" s="44"/>
      <c r="X457" s="44"/>
      <c r="Y457" s="44"/>
      <c r="Z457" s="44"/>
      <c r="AA457" s="44"/>
      <c r="AB457" s="44"/>
      <c r="AC457" s="44"/>
      <c r="AD457" s="44"/>
      <c r="AE457" s="44"/>
      <c r="AF457" s="44"/>
      <c r="AG457" s="44"/>
      <c r="AH457" s="44"/>
      <c r="AI457" s="44"/>
      <c r="AJ457" s="44"/>
      <c r="AK457" s="44"/>
      <c r="AL457" s="44"/>
    </row>
    <row r="458" spans="1:38" ht="13.8" customHeight="1" x14ac:dyDescent="0.25">
      <c r="A458" s="55"/>
      <c r="B458" s="265" t="s">
        <v>1336</v>
      </c>
      <c r="C458" s="266" t="s">
        <v>716</v>
      </c>
      <c r="D458" s="265" t="s">
        <v>40</v>
      </c>
      <c r="E458" s="265" t="s">
        <v>717</v>
      </c>
      <c r="F458" s="267" t="s">
        <v>55</v>
      </c>
      <c r="G458" s="277">
        <v>44.8</v>
      </c>
      <c r="H458" s="268">
        <f>I458+K458</f>
        <v>19.670000000000002</v>
      </c>
      <c r="I458" s="287">
        <v>5.48</v>
      </c>
      <c r="J458" s="268">
        <f t="shared" si="167"/>
        <v>6.95</v>
      </c>
      <c r="K458" s="292">
        <v>14.19</v>
      </c>
      <c r="L458" s="268">
        <f t="shared" si="168"/>
        <v>18</v>
      </c>
      <c r="M458" s="268">
        <f t="shared" si="169"/>
        <v>24.95</v>
      </c>
      <c r="N458" s="268">
        <f t="shared" si="170"/>
        <v>311.36</v>
      </c>
      <c r="O458" s="268">
        <f t="shared" si="171"/>
        <v>806.4</v>
      </c>
      <c r="P458" s="268">
        <f t="shared" si="172"/>
        <v>1117.76</v>
      </c>
      <c r="Q458" s="269">
        <f t="shared" si="173"/>
        <v>4.0000000000000002E-4</v>
      </c>
      <c r="R458" s="44"/>
      <c r="S458" s="49">
        <f t="shared" si="144"/>
        <v>881.22</v>
      </c>
      <c r="T458" s="44"/>
      <c r="U458" s="44"/>
      <c r="V458" s="44"/>
      <c r="W458" s="44"/>
      <c r="X458" s="44"/>
      <c r="Y458" s="44"/>
      <c r="Z458" s="44"/>
      <c r="AA458" s="44"/>
      <c r="AB458" s="44"/>
      <c r="AC458" s="44"/>
      <c r="AD458" s="44"/>
      <c r="AE458" s="44"/>
      <c r="AF458" s="44"/>
      <c r="AG458" s="44"/>
      <c r="AH458" s="44"/>
      <c r="AI458" s="44"/>
      <c r="AJ458" s="44"/>
      <c r="AK458" s="44"/>
      <c r="AL458" s="44"/>
    </row>
    <row r="459" spans="1:38" ht="27.6" x14ac:dyDescent="0.25">
      <c r="A459" s="55"/>
      <c r="B459" s="265" t="s">
        <v>1337</v>
      </c>
      <c r="C459" s="266" t="s">
        <v>718</v>
      </c>
      <c r="D459" s="265" t="s">
        <v>40</v>
      </c>
      <c r="E459" s="265" t="s">
        <v>719</v>
      </c>
      <c r="F459" s="267" t="s">
        <v>55</v>
      </c>
      <c r="G459" s="277">
        <v>16</v>
      </c>
      <c r="H459" s="268">
        <f>I459+K459</f>
        <v>30.07</v>
      </c>
      <c r="I459" s="287">
        <v>4.3499999999999996</v>
      </c>
      <c r="J459" s="268">
        <f t="shared" si="167"/>
        <v>5.52</v>
      </c>
      <c r="K459" s="292">
        <v>25.72</v>
      </c>
      <c r="L459" s="268">
        <f t="shared" si="168"/>
        <v>32.630000000000003</v>
      </c>
      <c r="M459" s="268">
        <f t="shared" si="169"/>
        <v>38.15</v>
      </c>
      <c r="N459" s="268">
        <f t="shared" si="170"/>
        <v>88.32</v>
      </c>
      <c r="O459" s="268">
        <f t="shared" si="171"/>
        <v>522.08000000000004</v>
      </c>
      <c r="P459" s="268">
        <f t="shared" si="172"/>
        <v>610.4</v>
      </c>
      <c r="Q459" s="269">
        <f t="shared" si="173"/>
        <v>2.0000000000000001E-4</v>
      </c>
      <c r="R459" s="44"/>
      <c r="S459" s="49">
        <f t="shared" si="144"/>
        <v>481.12</v>
      </c>
      <c r="T459" s="44"/>
      <c r="U459" s="44"/>
      <c r="V459" s="44"/>
      <c r="W459" s="44"/>
      <c r="X459" s="44"/>
      <c r="Y459" s="44"/>
      <c r="Z459" s="44"/>
      <c r="AA459" s="44"/>
      <c r="AB459" s="44"/>
      <c r="AC459" s="44"/>
      <c r="AD459" s="44"/>
      <c r="AE459" s="44"/>
      <c r="AF459" s="44"/>
      <c r="AG459" s="44"/>
      <c r="AH459" s="44"/>
      <c r="AI459" s="44"/>
      <c r="AJ459" s="44"/>
      <c r="AK459" s="44"/>
      <c r="AL459" s="44"/>
    </row>
    <row r="460" spans="1:38" ht="27.6" customHeight="1" x14ac:dyDescent="0.25">
      <c r="A460" s="55"/>
      <c r="B460" s="265" t="s">
        <v>1338</v>
      </c>
      <c r="C460" s="266" t="s">
        <v>737</v>
      </c>
      <c r="D460" s="265" t="s">
        <v>199</v>
      </c>
      <c r="E460" s="265" t="s">
        <v>775</v>
      </c>
      <c r="F460" s="267" t="s">
        <v>393</v>
      </c>
      <c r="G460" s="277">
        <v>10</v>
      </c>
      <c r="H460" s="268">
        <v>21.15</v>
      </c>
      <c r="I460" s="287">
        <f>3.71+5.42</f>
        <v>9.1300000000000008</v>
      </c>
      <c r="J460" s="268">
        <f t="shared" si="167"/>
        <v>11.58</v>
      </c>
      <c r="K460" s="292">
        <f>H460-I460</f>
        <v>12.02</v>
      </c>
      <c r="L460" s="268">
        <f t="shared" si="168"/>
        <v>15.25</v>
      </c>
      <c r="M460" s="268">
        <f t="shared" si="169"/>
        <v>26.83</v>
      </c>
      <c r="N460" s="268">
        <f t="shared" si="170"/>
        <v>115.8</v>
      </c>
      <c r="O460" s="268">
        <f t="shared" si="171"/>
        <v>152.5</v>
      </c>
      <c r="P460" s="268">
        <f t="shared" si="172"/>
        <v>268.3</v>
      </c>
      <c r="Q460" s="269">
        <f t="shared" si="173"/>
        <v>1E-4</v>
      </c>
      <c r="R460" s="44"/>
      <c r="S460" s="49">
        <f t="shared" si="144"/>
        <v>211.5</v>
      </c>
      <c r="T460" s="44"/>
      <c r="U460" s="44"/>
      <c r="V460" s="44"/>
      <c r="W460" s="44"/>
      <c r="X460" s="44"/>
      <c r="Y460" s="44"/>
      <c r="Z460" s="44"/>
      <c r="AA460" s="44"/>
      <c r="AB460" s="44"/>
      <c r="AC460" s="44"/>
      <c r="AD460" s="44"/>
      <c r="AE460" s="44"/>
      <c r="AF460" s="44"/>
      <c r="AG460" s="44"/>
      <c r="AH460" s="44"/>
      <c r="AI460" s="44"/>
      <c r="AJ460" s="44"/>
      <c r="AK460" s="44"/>
      <c r="AL460" s="44"/>
    </row>
    <row r="461" spans="1:38" x14ac:dyDescent="0.25">
      <c r="A461" s="55"/>
      <c r="B461" s="261">
        <v>19</v>
      </c>
      <c r="C461" s="261"/>
      <c r="D461" s="261"/>
      <c r="E461" s="261" t="s">
        <v>298</v>
      </c>
      <c r="F461" s="261"/>
      <c r="G461" s="276"/>
      <c r="H461" s="262"/>
      <c r="I461" s="286"/>
      <c r="J461" s="261"/>
      <c r="K461" s="291"/>
      <c r="L461" s="261"/>
      <c r="M461" s="261"/>
      <c r="N461" s="261"/>
      <c r="O461" s="261"/>
      <c r="P461" s="263"/>
      <c r="Q461" s="263"/>
      <c r="R461" s="44"/>
      <c r="S461" s="49">
        <f t="shared" si="144"/>
        <v>0</v>
      </c>
      <c r="T461" s="44"/>
      <c r="U461" s="44"/>
      <c r="V461" s="44"/>
      <c r="W461" s="44"/>
      <c r="X461" s="44"/>
      <c r="Y461" s="44"/>
      <c r="Z461" s="44"/>
      <c r="AA461" s="44"/>
      <c r="AB461" s="44"/>
      <c r="AC461" s="44"/>
      <c r="AD461" s="44"/>
      <c r="AE461" s="44"/>
      <c r="AF461" s="44"/>
      <c r="AG461" s="44"/>
      <c r="AH461" s="44"/>
      <c r="AI461" s="44"/>
      <c r="AJ461" s="44"/>
      <c r="AK461" s="44"/>
      <c r="AL461" s="44"/>
    </row>
    <row r="462" spans="1:38" ht="27.6" x14ac:dyDescent="0.25">
      <c r="A462" s="55"/>
      <c r="B462" s="265" t="s">
        <v>284</v>
      </c>
      <c r="C462" s="266" t="s">
        <v>299</v>
      </c>
      <c r="D462" s="265" t="s">
        <v>40</v>
      </c>
      <c r="E462" s="265" t="s">
        <v>300</v>
      </c>
      <c r="F462" s="267" t="s">
        <v>55</v>
      </c>
      <c r="G462" s="277">
        <v>80</v>
      </c>
      <c r="H462" s="268">
        <f>I462+K462</f>
        <v>61.09</v>
      </c>
      <c r="I462" s="287">
        <v>9.6300000000000008</v>
      </c>
      <c r="J462" s="268">
        <f t="shared" ref="J462:J469" si="174">I462*(1+$M$9)</f>
        <v>12.22</v>
      </c>
      <c r="K462" s="292">
        <v>51.46</v>
      </c>
      <c r="L462" s="268">
        <f t="shared" ref="L462:L469" si="175">K462*(1+$M$9)</f>
        <v>65.290000000000006</v>
      </c>
      <c r="M462" s="268">
        <f t="shared" ref="M462:M469" si="176">L462+J462</f>
        <v>77.510000000000005</v>
      </c>
      <c r="N462" s="268">
        <f t="shared" ref="N462:N469" si="177">J462*G462</f>
        <v>977.6</v>
      </c>
      <c r="O462" s="268">
        <f t="shared" ref="O462:O469" si="178">L462*G462</f>
        <v>5223.2</v>
      </c>
      <c r="P462" s="268">
        <f t="shared" ref="P462:P469" si="179">O462+N462</f>
        <v>6200.8</v>
      </c>
      <c r="Q462" s="269">
        <f t="shared" ref="Q462:Q469" si="180">P462/$O$485</f>
        <v>2.5000000000000001E-3</v>
      </c>
      <c r="R462" s="44"/>
      <c r="S462" s="49">
        <f t="shared" si="144"/>
        <v>4887.2</v>
      </c>
      <c r="T462" s="44"/>
      <c r="U462" s="44"/>
      <c r="V462" s="44"/>
      <c r="W462" s="44"/>
      <c r="X462" s="44"/>
      <c r="Y462" s="44"/>
      <c r="Z462" s="44"/>
      <c r="AA462" s="44"/>
      <c r="AB462" s="44"/>
      <c r="AC462" s="44"/>
      <c r="AD462" s="44"/>
      <c r="AE462" s="44"/>
      <c r="AF462" s="44"/>
      <c r="AG462" s="44"/>
      <c r="AH462" s="44"/>
      <c r="AI462" s="44"/>
      <c r="AJ462" s="44"/>
      <c r="AK462" s="44"/>
      <c r="AL462" s="44"/>
    </row>
    <row r="463" spans="1:38" ht="27.6" x14ac:dyDescent="0.25">
      <c r="A463" s="55"/>
      <c r="B463" s="265" t="s">
        <v>285</v>
      </c>
      <c r="C463" s="266" t="s">
        <v>301</v>
      </c>
      <c r="D463" s="265" t="s">
        <v>40</v>
      </c>
      <c r="E463" s="265" t="s">
        <v>302</v>
      </c>
      <c r="F463" s="267" t="s">
        <v>44</v>
      </c>
      <c r="G463" s="277">
        <v>10</v>
      </c>
      <c r="H463" s="268">
        <f>I463+K463</f>
        <v>21.33</v>
      </c>
      <c r="I463" s="287">
        <v>10.1</v>
      </c>
      <c r="J463" s="268">
        <f t="shared" si="174"/>
        <v>12.81</v>
      </c>
      <c r="K463" s="292">
        <v>11.23</v>
      </c>
      <c r="L463" s="268">
        <f t="shared" si="175"/>
        <v>14.25</v>
      </c>
      <c r="M463" s="268">
        <f t="shared" si="176"/>
        <v>27.06</v>
      </c>
      <c r="N463" s="268">
        <f t="shared" si="177"/>
        <v>128.1</v>
      </c>
      <c r="O463" s="268">
        <f t="shared" si="178"/>
        <v>142.5</v>
      </c>
      <c r="P463" s="268">
        <f t="shared" si="179"/>
        <v>270.60000000000002</v>
      </c>
      <c r="Q463" s="269">
        <f t="shared" si="180"/>
        <v>1E-4</v>
      </c>
      <c r="R463" s="44"/>
      <c r="S463" s="49">
        <f t="shared" si="144"/>
        <v>213.3</v>
      </c>
      <c r="T463" s="44"/>
      <c r="U463" s="44"/>
      <c r="V463" s="44"/>
      <c r="W463" s="44"/>
      <c r="X463" s="44"/>
      <c r="Y463" s="44"/>
      <c r="Z463" s="44"/>
      <c r="AA463" s="44"/>
      <c r="AB463" s="44"/>
      <c r="AC463" s="44"/>
      <c r="AD463" s="44"/>
      <c r="AE463" s="44"/>
      <c r="AF463" s="44"/>
      <c r="AG463" s="44"/>
      <c r="AH463" s="44"/>
      <c r="AI463" s="44"/>
      <c r="AJ463" s="44"/>
      <c r="AK463" s="44"/>
      <c r="AL463" s="44"/>
    </row>
    <row r="464" spans="1:38" ht="27.6" x14ac:dyDescent="0.25">
      <c r="A464" s="55"/>
      <c r="B464" s="265" t="s">
        <v>1160</v>
      </c>
      <c r="C464" s="266" t="s">
        <v>305</v>
      </c>
      <c r="D464" s="265" t="s">
        <v>40</v>
      </c>
      <c r="E464" s="265" t="s">
        <v>306</v>
      </c>
      <c r="F464" s="267" t="s">
        <v>44</v>
      </c>
      <c r="G464" s="277">
        <v>50</v>
      </c>
      <c r="H464" s="268">
        <f>I464+K464</f>
        <v>15.76</v>
      </c>
      <c r="I464" s="287">
        <v>7.58</v>
      </c>
      <c r="J464" s="268">
        <f t="shared" si="174"/>
        <v>9.6199999999999992</v>
      </c>
      <c r="K464" s="292">
        <v>8.18</v>
      </c>
      <c r="L464" s="268">
        <f t="shared" si="175"/>
        <v>10.38</v>
      </c>
      <c r="M464" s="268">
        <f t="shared" si="176"/>
        <v>20</v>
      </c>
      <c r="N464" s="268">
        <f t="shared" si="177"/>
        <v>481</v>
      </c>
      <c r="O464" s="268">
        <f t="shared" si="178"/>
        <v>519</v>
      </c>
      <c r="P464" s="268">
        <f t="shared" si="179"/>
        <v>1000</v>
      </c>
      <c r="Q464" s="269">
        <f t="shared" si="180"/>
        <v>4.0000000000000002E-4</v>
      </c>
      <c r="R464" s="44"/>
      <c r="S464" s="49">
        <f t="shared" si="144"/>
        <v>788</v>
      </c>
      <c r="T464" s="44"/>
      <c r="U464" s="44"/>
      <c r="V464" s="44"/>
      <c r="W464" s="44"/>
      <c r="X464" s="44"/>
      <c r="Y464" s="44"/>
      <c r="Z464" s="44"/>
      <c r="AA464" s="44"/>
      <c r="AB464" s="44"/>
      <c r="AC464" s="44"/>
      <c r="AD464" s="44"/>
      <c r="AE464" s="44"/>
      <c r="AF464" s="44"/>
      <c r="AG464" s="44"/>
      <c r="AH464" s="44"/>
      <c r="AI464" s="44"/>
      <c r="AJ464" s="44"/>
      <c r="AK464" s="44"/>
      <c r="AL464" s="44"/>
    </row>
    <row r="465" spans="1:38" ht="27.6" x14ac:dyDescent="0.25">
      <c r="A465" s="55"/>
      <c r="B465" s="265" t="s">
        <v>1161</v>
      </c>
      <c r="C465" s="266" t="s">
        <v>303</v>
      </c>
      <c r="D465" s="265" t="s">
        <v>40</v>
      </c>
      <c r="E465" s="265" t="s">
        <v>304</v>
      </c>
      <c r="F465" s="267" t="s">
        <v>44</v>
      </c>
      <c r="G465" s="277">
        <v>10</v>
      </c>
      <c r="H465" s="268">
        <f>I465+K465</f>
        <v>10.27</v>
      </c>
      <c r="I465" s="287">
        <v>5.0599999999999996</v>
      </c>
      <c r="J465" s="268">
        <f t="shared" si="174"/>
        <v>6.42</v>
      </c>
      <c r="K465" s="292">
        <v>5.21</v>
      </c>
      <c r="L465" s="268">
        <f t="shared" si="175"/>
        <v>6.61</v>
      </c>
      <c r="M465" s="268">
        <f t="shared" si="176"/>
        <v>13.03</v>
      </c>
      <c r="N465" s="268">
        <f t="shared" si="177"/>
        <v>64.2</v>
      </c>
      <c r="O465" s="268">
        <f t="shared" si="178"/>
        <v>66.099999999999994</v>
      </c>
      <c r="P465" s="268">
        <f t="shared" si="179"/>
        <v>130.30000000000001</v>
      </c>
      <c r="Q465" s="269">
        <f t="shared" si="180"/>
        <v>1E-4</v>
      </c>
      <c r="R465" s="44"/>
      <c r="S465" s="49">
        <f t="shared" si="144"/>
        <v>102.7</v>
      </c>
      <c r="T465" s="44"/>
      <c r="U465" s="44"/>
      <c r="V465" s="44"/>
      <c r="W465" s="44"/>
      <c r="X465" s="44"/>
      <c r="Y465" s="44"/>
      <c r="Z465" s="44"/>
      <c r="AA465" s="44"/>
      <c r="AB465" s="44"/>
      <c r="AC465" s="44"/>
      <c r="AD465" s="44"/>
      <c r="AE465" s="44"/>
      <c r="AF465" s="44"/>
      <c r="AG465" s="44"/>
      <c r="AH465" s="44"/>
      <c r="AI465" s="44"/>
      <c r="AJ465" s="44"/>
      <c r="AK465" s="44"/>
      <c r="AL465" s="44"/>
    </row>
    <row r="466" spans="1:38" x14ac:dyDescent="0.25">
      <c r="A466" s="55"/>
      <c r="B466" s="265" t="s">
        <v>1162</v>
      </c>
      <c r="C466" s="266" t="s">
        <v>1437</v>
      </c>
      <c r="D466" s="265" t="s">
        <v>100</v>
      </c>
      <c r="E466" s="265" t="s">
        <v>1438</v>
      </c>
      <c r="F466" s="267" t="s">
        <v>44</v>
      </c>
      <c r="G466" s="277">
        <v>2</v>
      </c>
      <c r="H466" s="268">
        <f>CPUS!L143</f>
        <v>136.07</v>
      </c>
      <c r="I466" s="287">
        <f>CPUS!H147</f>
        <v>5.96</v>
      </c>
      <c r="J466" s="268">
        <f t="shared" si="174"/>
        <v>7.56</v>
      </c>
      <c r="K466" s="292">
        <f>H466-I466</f>
        <v>130.11000000000001</v>
      </c>
      <c r="L466" s="268">
        <f t="shared" si="175"/>
        <v>165.07</v>
      </c>
      <c r="M466" s="268">
        <f t="shared" si="176"/>
        <v>172.63</v>
      </c>
      <c r="N466" s="268">
        <f t="shared" si="177"/>
        <v>15.12</v>
      </c>
      <c r="O466" s="268">
        <f t="shared" si="178"/>
        <v>330.14</v>
      </c>
      <c r="P466" s="268">
        <f t="shared" si="179"/>
        <v>345.26</v>
      </c>
      <c r="Q466" s="269">
        <f t="shared" si="180"/>
        <v>1E-4</v>
      </c>
      <c r="R466" s="44"/>
      <c r="S466" s="49">
        <f t="shared" si="144"/>
        <v>272.14</v>
      </c>
      <c r="T466" s="44"/>
      <c r="U466" s="44"/>
      <c r="V466" s="44"/>
      <c r="W466" s="44"/>
      <c r="X466" s="44"/>
      <c r="Y466" s="44"/>
      <c r="Z466" s="44"/>
      <c r="AA466" s="44"/>
      <c r="AB466" s="44"/>
      <c r="AC466" s="44"/>
      <c r="AD466" s="44"/>
      <c r="AE466" s="44"/>
      <c r="AF466" s="44"/>
      <c r="AG466" s="44"/>
      <c r="AH466" s="44"/>
      <c r="AI466" s="44"/>
      <c r="AJ466" s="44"/>
      <c r="AK466" s="44"/>
      <c r="AL466" s="44"/>
    </row>
    <row r="467" spans="1:38" ht="15.75" customHeight="1" x14ac:dyDescent="0.25">
      <c r="A467" s="44"/>
      <c r="B467" s="265" t="s">
        <v>1163</v>
      </c>
      <c r="C467" s="266" t="s">
        <v>1166</v>
      </c>
      <c r="D467" s="265" t="s">
        <v>146</v>
      </c>
      <c r="E467" s="265" t="s">
        <v>1167</v>
      </c>
      <c r="F467" s="267" t="s">
        <v>168</v>
      </c>
      <c r="G467" s="277">
        <v>1</v>
      </c>
      <c r="H467" s="268">
        <v>1309.6400000000001</v>
      </c>
      <c r="I467" s="287">
        <f>1.53+1.56+7.65+5.46</f>
        <v>16.2</v>
      </c>
      <c r="J467" s="268">
        <f t="shared" si="174"/>
        <v>20.55</v>
      </c>
      <c r="K467" s="292">
        <f>H467-I467</f>
        <v>1293.44</v>
      </c>
      <c r="L467" s="268">
        <f t="shared" si="175"/>
        <v>1640.99</v>
      </c>
      <c r="M467" s="268">
        <f t="shared" si="176"/>
        <v>1661.54</v>
      </c>
      <c r="N467" s="268">
        <f t="shared" si="177"/>
        <v>20.55</v>
      </c>
      <c r="O467" s="268">
        <f t="shared" si="178"/>
        <v>1640.99</v>
      </c>
      <c r="P467" s="268">
        <f t="shared" si="179"/>
        <v>1661.54</v>
      </c>
      <c r="Q467" s="269">
        <f t="shared" si="180"/>
        <v>6.9999999999999999E-4</v>
      </c>
      <c r="R467" s="44"/>
      <c r="S467" s="49">
        <f t="shared" si="144"/>
        <v>1309.6400000000001</v>
      </c>
      <c r="T467" s="44"/>
      <c r="U467" s="44"/>
      <c r="V467" s="44"/>
      <c r="W467" s="44"/>
      <c r="X467" s="44"/>
      <c r="Y467" s="44"/>
      <c r="Z467" s="44"/>
      <c r="AA467" s="44"/>
      <c r="AB467" s="44"/>
      <c r="AC467" s="44"/>
      <c r="AD467" s="44"/>
      <c r="AE467" s="44"/>
      <c r="AF467" s="44"/>
      <c r="AG467" s="44"/>
      <c r="AH467" s="44"/>
      <c r="AI467" s="44"/>
      <c r="AJ467" s="44"/>
      <c r="AK467" s="44"/>
      <c r="AL467" s="44"/>
    </row>
    <row r="468" spans="1:38" ht="15.75" customHeight="1" x14ac:dyDescent="0.25">
      <c r="A468" s="44"/>
      <c r="B468" s="265" t="s">
        <v>1164</v>
      </c>
      <c r="C468" s="266" t="s">
        <v>863</v>
      </c>
      <c r="D468" s="265" t="s">
        <v>146</v>
      </c>
      <c r="E468" s="265" t="s">
        <v>864</v>
      </c>
      <c r="F468" s="267" t="s">
        <v>168</v>
      </c>
      <c r="G468" s="277">
        <v>1</v>
      </c>
      <c r="H468" s="268">
        <v>867.11</v>
      </c>
      <c r="I468" s="287">
        <f>1.15+1.17+5.74+4.1</f>
        <v>12.16</v>
      </c>
      <c r="J468" s="268">
        <f t="shared" si="174"/>
        <v>15.43</v>
      </c>
      <c r="K468" s="292">
        <f>H468-I468</f>
        <v>854.95</v>
      </c>
      <c r="L468" s="268">
        <f t="shared" si="175"/>
        <v>1084.68</v>
      </c>
      <c r="M468" s="268">
        <f t="shared" si="176"/>
        <v>1100.1099999999999</v>
      </c>
      <c r="N468" s="268">
        <f t="shared" si="177"/>
        <v>15.43</v>
      </c>
      <c r="O468" s="268">
        <f t="shared" si="178"/>
        <v>1084.68</v>
      </c>
      <c r="P468" s="268">
        <f t="shared" si="179"/>
        <v>1100.1099999999999</v>
      </c>
      <c r="Q468" s="269">
        <f t="shared" si="180"/>
        <v>4.0000000000000002E-4</v>
      </c>
      <c r="R468" s="44"/>
      <c r="S468" s="49">
        <f t="shared" si="144"/>
        <v>867.11</v>
      </c>
      <c r="T468" s="44"/>
      <c r="U468" s="44"/>
      <c r="V468" s="44"/>
      <c r="W468" s="44"/>
      <c r="X468" s="44"/>
      <c r="Y468" s="44"/>
      <c r="Z468" s="44"/>
      <c r="AA468" s="44"/>
      <c r="AB468" s="44"/>
      <c r="AC468" s="44"/>
      <c r="AD468" s="44"/>
      <c r="AE468" s="44"/>
      <c r="AF468" s="44"/>
      <c r="AG468" s="44"/>
      <c r="AH468" s="44"/>
      <c r="AI468" s="44"/>
      <c r="AJ468" s="44"/>
      <c r="AK468" s="44"/>
      <c r="AL468" s="44"/>
    </row>
    <row r="469" spans="1:38" ht="15.75" customHeight="1" x14ac:dyDescent="0.25">
      <c r="A469" s="44"/>
      <c r="B469" s="265" t="s">
        <v>1165</v>
      </c>
      <c r="C469" s="266" t="s">
        <v>739</v>
      </c>
      <c r="D469" s="265" t="s">
        <v>40</v>
      </c>
      <c r="E469" s="265" t="s">
        <v>740</v>
      </c>
      <c r="F469" s="267" t="s">
        <v>55</v>
      </c>
      <c r="G469" s="277">
        <v>40</v>
      </c>
      <c r="H469" s="268">
        <f>I469+K469</f>
        <v>18.649999999999999</v>
      </c>
      <c r="I469" s="287">
        <v>6.06</v>
      </c>
      <c r="J469" s="268">
        <f t="shared" si="174"/>
        <v>7.69</v>
      </c>
      <c r="K469" s="292">
        <v>12.59</v>
      </c>
      <c r="L469" s="268">
        <f t="shared" si="175"/>
        <v>15.97</v>
      </c>
      <c r="M469" s="268">
        <f t="shared" si="176"/>
        <v>23.66</v>
      </c>
      <c r="N469" s="268">
        <f t="shared" si="177"/>
        <v>307.60000000000002</v>
      </c>
      <c r="O469" s="268">
        <f t="shared" si="178"/>
        <v>638.79999999999995</v>
      </c>
      <c r="P469" s="268">
        <f t="shared" si="179"/>
        <v>946.4</v>
      </c>
      <c r="Q469" s="269">
        <f t="shared" si="180"/>
        <v>4.0000000000000002E-4</v>
      </c>
      <c r="R469" s="44"/>
      <c r="S469" s="49">
        <f t="shared" ref="S469:S480" si="181">G469*H469</f>
        <v>746</v>
      </c>
      <c r="T469" s="44"/>
      <c r="U469" s="44"/>
      <c r="V469" s="44"/>
      <c r="W469" s="44"/>
      <c r="X469" s="44"/>
      <c r="Y469" s="44"/>
      <c r="Z469" s="44"/>
      <c r="AA469" s="44"/>
      <c r="AB469" s="44"/>
      <c r="AC469" s="44"/>
      <c r="AD469" s="44"/>
      <c r="AE469" s="44"/>
      <c r="AF469" s="44"/>
      <c r="AG469" s="44"/>
      <c r="AH469" s="44"/>
      <c r="AI469" s="44"/>
      <c r="AJ469" s="44"/>
      <c r="AK469" s="44"/>
      <c r="AL469" s="44"/>
    </row>
    <row r="470" spans="1:38" ht="15.75" customHeight="1" x14ac:dyDescent="0.25">
      <c r="A470" s="44"/>
      <c r="B470" s="261">
        <v>20</v>
      </c>
      <c r="C470" s="261"/>
      <c r="D470" s="261"/>
      <c r="E470" s="261" t="s">
        <v>741</v>
      </c>
      <c r="F470" s="261"/>
      <c r="G470" s="276"/>
      <c r="H470" s="262"/>
      <c r="I470" s="286"/>
      <c r="J470" s="261"/>
      <c r="K470" s="291"/>
      <c r="L470" s="261"/>
      <c r="M470" s="261"/>
      <c r="N470" s="261"/>
      <c r="O470" s="261"/>
      <c r="P470" s="263"/>
      <c r="Q470" s="263"/>
      <c r="R470" s="44"/>
      <c r="S470" s="49">
        <f t="shared" si="181"/>
        <v>0</v>
      </c>
      <c r="T470" s="44"/>
      <c r="U470" s="44"/>
      <c r="V470" s="44"/>
      <c r="W470" s="44"/>
      <c r="X470" s="44"/>
      <c r="Y470" s="44"/>
      <c r="Z470" s="44"/>
      <c r="AA470" s="44"/>
      <c r="AB470" s="44"/>
      <c r="AC470" s="44"/>
      <c r="AD470" s="44"/>
      <c r="AE470" s="44"/>
      <c r="AF470" s="44"/>
      <c r="AG470" s="44"/>
      <c r="AH470" s="44"/>
      <c r="AI470" s="44"/>
      <c r="AJ470" s="44"/>
      <c r="AK470" s="44"/>
      <c r="AL470" s="44"/>
    </row>
    <row r="471" spans="1:38" ht="15.75" customHeight="1" x14ac:dyDescent="0.25">
      <c r="A471" s="44"/>
      <c r="B471" s="261" t="s">
        <v>286</v>
      </c>
      <c r="C471" s="261"/>
      <c r="D471" s="261"/>
      <c r="E471" s="261" t="s">
        <v>776</v>
      </c>
      <c r="F471" s="261"/>
      <c r="G471" s="276"/>
      <c r="H471" s="262"/>
      <c r="I471" s="286"/>
      <c r="J471" s="261"/>
      <c r="K471" s="291"/>
      <c r="L471" s="261"/>
      <c r="M471" s="261"/>
      <c r="N471" s="261"/>
      <c r="O471" s="261"/>
      <c r="P471" s="263"/>
      <c r="Q471" s="263"/>
      <c r="R471" s="44"/>
      <c r="S471" s="49">
        <f t="shared" si="181"/>
        <v>0</v>
      </c>
      <c r="T471" s="44"/>
      <c r="U471" s="44"/>
      <c r="V471" s="44"/>
      <c r="W471" s="44"/>
      <c r="X471" s="44"/>
      <c r="Y471" s="44"/>
      <c r="Z471" s="44"/>
      <c r="AA471" s="44"/>
      <c r="AB471" s="44"/>
      <c r="AC471" s="44"/>
      <c r="AD471" s="44"/>
      <c r="AE471" s="44"/>
      <c r="AF471" s="44"/>
      <c r="AG471" s="44"/>
      <c r="AH471" s="44"/>
      <c r="AI471" s="44"/>
      <c r="AJ471" s="44"/>
      <c r="AK471" s="44"/>
      <c r="AL471" s="44"/>
    </row>
    <row r="472" spans="1:38" ht="15.75" customHeight="1" x14ac:dyDescent="0.25">
      <c r="A472" s="44"/>
      <c r="B472" s="265" t="s">
        <v>1339</v>
      </c>
      <c r="C472" s="266" t="s">
        <v>742</v>
      </c>
      <c r="D472" s="265" t="s">
        <v>40</v>
      </c>
      <c r="E472" s="265" t="s">
        <v>1168</v>
      </c>
      <c r="F472" s="267" t="s">
        <v>41</v>
      </c>
      <c r="G472" s="277">
        <v>15.06</v>
      </c>
      <c r="H472" s="268">
        <f>I472+K472</f>
        <v>131.53</v>
      </c>
      <c r="I472" s="287">
        <v>29.64</v>
      </c>
      <c r="J472" s="268">
        <f>I472*(1+$M$9)</f>
        <v>37.6</v>
      </c>
      <c r="K472" s="292">
        <v>101.89</v>
      </c>
      <c r="L472" s="268">
        <f>K472*(1+$M$9)</f>
        <v>129.27000000000001</v>
      </c>
      <c r="M472" s="268">
        <f>L472+J472</f>
        <v>166.87</v>
      </c>
      <c r="N472" s="268">
        <f>J472*G472</f>
        <v>566.26</v>
      </c>
      <c r="O472" s="268">
        <f>L472*G472</f>
        <v>1946.81</v>
      </c>
      <c r="P472" s="268">
        <f>O472+N472</f>
        <v>2513.0700000000002</v>
      </c>
      <c r="Q472" s="269">
        <f>P472/$O$485</f>
        <v>1E-3</v>
      </c>
      <c r="R472" s="44"/>
      <c r="S472" s="49">
        <f t="shared" si="181"/>
        <v>1980.84</v>
      </c>
      <c r="T472" s="44"/>
      <c r="U472" s="44"/>
      <c r="V472" s="44"/>
      <c r="W472" s="44"/>
      <c r="X472" s="44"/>
      <c r="Y472" s="44"/>
      <c r="Z472" s="44"/>
      <c r="AA472" s="44"/>
      <c r="AB472" s="44"/>
      <c r="AC472" s="44"/>
      <c r="AD472" s="44"/>
      <c r="AE472" s="44"/>
      <c r="AF472" s="44"/>
      <c r="AG472" s="44"/>
      <c r="AH472" s="44"/>
      <c r="AI472" s="44"/>
      <c r="AJ472" s="44"/>
      <c r="AK472" s="44"/>
      <c r="AL472" s="44"/>
    </row>
    <row r="473" spans="1:38" ht="15.75" customHeight="1" x14ac:dyDescent="0.25">
      <c r="A473" s="44"/>
      <c r="B473" s="265" t="s">
        <v>1591</v>
      </c>
      <c r="C473" s="266" t="s">
        <v>1592</v>
      </c>
      <c r="D473" s="265" t="s">
        <v>40</v>
      </c>
      <c r="E473" s="265" t="s">
        <v>1593</v>
      </c>
      <c r="F473" s="267" t="s">
        <v>55</v>
      </c>
      <c r="G473" s="277">
        <v>45.2</v>
      </c>
      <c r="H473" s="268">
        <f>I473+K473</f>
        <v>46.98</v>
      </c>
      <c r="I473" s="287">
        <v>8.93</v>
      </c>
      <c r="J473" s="268">
        <f>I473*(1+$M$9)</f>
        <v>11.33</v>
      </c>
      <c r="K473" s="292">
        <v>38.049999999999997</v>
      </c>
      <c r="L473" s="268">
        <f>K473*(1+$M$9)</f>
        <v>48.27</v>
      </c>
      <c r="M473" s="268">
        <f>L473+J473</f>
        <v>59.6</v>
      </c>
      <c r="N473" s="268">
        <f>J473*G473</f>
        <v>512.12</v>
      </c>
      <c r="O473" s="268">
        <f>L473*G473</f>
        <v>2181.8000000000002</v>
      </c>
      <c r="P473" s="268">
        <f>O473+N473</f>
        <v>2693.92</v>
      </c>
      <c r="Q473" s="269">
        <f>P473/$O$485</f>
        <v>1.1000000000000001E-3</v>
      </c>
      <c r="R473" s="44"/>
      <c r="S473" s="49">
        <f t="shared" si="181"/>
        <v>2123.5</v>
      </c>
      <c r="T473" s="44"/>
      <c r="U473" s="44"/>
      <c r="V473" s="44"/>
      <c r="W473" s="44"/>
      <c r="X473" s="44"/>
      <c r="Y473" s="44"/>
      <c r="Z473" s="44"/>
      <c r="AA473" s="44"/>
      <c r="AB473" s="44"/>
      <c r="AC473" s="44"/>
      <c r="AD473" s="44"/>
      <c r="AE473" s="44"/>
      <c r="AF473" s="44"/>
      <c r="AG473" s="44"/>
      <c r="AH473" s="44"/>
      <c r="AI473" s="44"/>
      <c r="AJ473" s="44"/>
      <c r="AK473" s="44"/>
      <c r="AL473" s="44"/>
    </row>
    <row r="474" spans="1:38" ht="15.75" customHeight="1" x14ac:dyDescent="0.25">
      <c r="A474" s="44"/>
      <c r="B474" s="261" t="s">
        <v>289</v>
      </c>
      <c r="C474" s="261"/>
      <c r="D474" s="261"/>
      <c r="E474" s="261" t="s">
        <v>290</v>
      </c>
      <c r="F474" s="261"/>
      <c r="G474" s="276"/>
      <c r="H474" s="262"/>
      <c r="I474" s="286"/>
      <c r="J474" s="261"/>
      <c r="K474" s="291"/>
      <c r="L474" s="261"/>
      <c r="M474" s="261"/>
      <c r="N474" s="261"/>
      <c r="O474" s="261"/>
      <c r="P474" s="263"/>
      <c r="Q474" s="263"/>
      <c r="R474" s="44"/>
      <c r="S474" s="49">
        <f t="shared" si="181"/>
        <v>0</v>
      </c>
      <c r="T474" s="44"/>
      <c r="U474" s="44"/>
      <c r="V474" s="44"/>
      <c r="W474" s="44"/>
      <c r="X474" s="44"/>
      <c r="Y474" s="44"/>
      <c r="Z474" s="44"/>
      <c r="AA474" s="44"/>
      <c r="AB474" s="44"/>
      <c r="AC474" s="44"/>
      <c r="AD474" s="44"/>
      <c r="AE474" s="44"/>
      <c r="AF474" s="44"/>
      <c r="AG474" s="44"/>
      <c r="AH474" s="44"/>
      <c r="AI474" s="44"/>
      <c r="AJ474" s="44"/>
      <c r="AK474" s="44"/>
      <c r="AL474" s="44"/>
    </row>
    <row r="475" spans="1:38" ht="15.75" customHeight="1" x14ac:dyDescent="0.25">
      <c r="A475" s="44"/>
      <c r="B475" s="265" t="s">
        <v>1340</v>
      </c>
      <c r="C475" s="266" t="s">
        <v>292</v>
      </c>
      <c r="D475" s="265" t="s">
        <v>40</v>
      </c>
      <c r="E475" s="265" t="s">
        <v>293</v>
      </c>
      <c r="F475" s="267" t="s">
        <v>41</v>
      </c>
      <c r="G475" s="277">
        <v>109.55</v>
      </c>
      <c r="H475" s="268">
        <f>I475+K475</f>
        <v>26.14</v>
      </c>
      <c r="I475" s="287">
        <v>2.3199999999999998</v>
      </c>
      <c r="J475" s="268">
        <f>I475*(1+$M$9)</f>
        <v>2.94</v>
      </c>
      <c r="K475" s="292">
        <v>23.82</v>
      </c>
      <c r="L475" s="268">
        <f>K475*(1+$M$9)</f>
        <v>30.22</v>
      </c>
      <c r="M475" s="268">
        <f>L475+J475</f>
        <v>33.159999999999997</v>
      </c>
      <c r="N475" s="268">
        <f>J475*G475</f>
        <v>322.08</v>
      </c>
      <c r="O475" s="268">
        <f>L475*G475</f>
        <v>3310.6</v>
      </c>
      <c r="P475" s="268">
        <f>O475+N475</f>
        <v>3632.68</v>
      </c>
      <c r="Q475" s="269">
        <f>P475/$O$485</f>
        <v>1.4E-3</v>
      </c>
      <c r="R475" s="44"/>
      <c r="S475" s="49">
        <f t="shared" si="181"/>
        <v>2863.64</v>
      </c>
      <c r="T475" s="44"/>
      <c r="U475" s="44"/>
      <c r="V475" s="44"/>
      <c r="W475" s="44"/>
      <c r="X475" s="44"/>
      <c r="Y475" s="44"/>
      <c r="Z475" s="44"/>
      <c r="AA475" s="44"/>
      <c r="AB475" s="44"/>
      <c r="AC475" s="44"/>
      <c r="AD475" s="44"/>
      <c r="AE475" s="44"/>
      <c r="AF475" s="44"/>
      <c r="AG475" s="44"/>
      <c r="AH475" s="44"/>
      <c r="AI475" s="44"/>
      <c r="AJ475" s="44"/>
      <c r="AK475" s="44"/>
      <c r="AL475" s="44"/>
    </row>
    <row r="476" spans="1:38" ht="15.75" customHeight="1" x14ac:dyDescent="0.25">
      <c r="A476" s="44"/>
      <c r="B476" s="261" t="s">
        <v>782</v>
      </c>
      <c r="C476" s="261"/>
      <c r="D476" s="261"/>
      <c r="E476" s="261" t="s">
        <v>743</v>
      </c>
      <c r="F476" s="261"/>
      <c r="G476" s="276"/>
      <c r="H476" s="262"/>
      <c r="I476" s="286"/>
      <c r="J476" s="261"/>
      <c r="K476" s="291"/>
      <c r="L476" s="261"/>
      <c r="M476" s="261"/>
      <c r="N476" s="261"/>
      <c r="O476" s="261"/>
      <c r="P476" s="263"/>
      <c r="Q476" s="263"/>
      <c r="R476" s="44"/>
      <c r="S476" s="49">
        <f t="shared" si="181"/>
        <v>0</v>
      </c>
      <c r="T476" s="44"/>
      <c r="U476" s="44"/>
      <c r="V476" s="44"/>
      <c r="W476" s="44"/>
      <c r="X476" s="44"/>
      <c r="Y476" s="44"/>
      <c r="Z476" s="44"/>
      <c r="AA476" s="44"/>
      <c r="AB476" s="44"/>
      <c r="AC476" s="44"/>
      <c r="AD476" s="44"/>
      <c r="AE476" s="44"/>
      <c r="AF476" s="44"/>
      <c r="AG476" s="44"/>
      <c r="AH476" s="44"/>
      <c r="AI476" s="44"/>
      <c r="AJ476" s="44"/>
      <c r="AK476" s="44"/>
      <c r="AL476" s="44"/>
    </row>
    <row r="477" spans="1:38" ht="15.75" customHeight="1" x14ac:dyDescent="0.25">
      <c r="A477" s="44"/>
      <c r="B477" s="265" t="s">
        <v>1341</v>
      </c>
      <c r="C477" s="266" t="s">
        <v>287</v>
      </c>
      <c r="D477" s="265" t="s">
        <v>146</v>
      </c>
      <c r="E477" s="265" t="s">
        <v>288</v>
      </c>
      <c r="F477" s="267" t="s">
        <v>168</v>
      </c>
      <c r="G477" s="277">
        <v>10</v>
      </c>
      <c r="H477" s="268">
        <v>113.65</v>
      </c>
      <c r="I477" s="287">
        <f>0.95+4.78</f>
        <v>5.73</v>
      </c>
      <c r="J477" s="268">
        <f>I477*(1+$M$9)</f>
        <v>7.27</v>
      </c>
      <c r="K477" s="292">
        <f>H477-I477</f>
        <v>107.92</v>
      </c>
      <c r="L477" s="268">
        <f>K477*(1+$M$9)</f>
        <v>136.91999999999999</v>
      </c>
      <c r="M477" s="268">
        <f>L477+J477</f>
        <v>144.19</v>
      </c>
      <c r="N477" s="268">
        <f>J477*G477</f>
        <v>72.7</v>
      </c>
      <c r="O477" s="268">
        <f>L477*G477</f>
        <v>1369.2</v>
      </c>
      <c r="P477" s="268">
        <f>O477+N477</f>
        <v>1441.9</v>
      </c>
      <c r="Q477" s="269">
        <f>P477/$O$485</f>
        <v>5.9999999999999995E-4</v>
      </c>
      <c r="R477" s="44"/>
      <c r="S477" s="49">
        <f t="shared" si="181"/>
        <v>1136.5</v>
      </c>
      <c r="T477" s="44"/>
      <c r="U477" s="44"/>
      <c r="V477" s="44"/>
      <c r="W477" s="44"/>
      <c r="X477" s="44"/>
      <c r="Y477" s="44"/>
      <c r="Z477" s="44"/>
      <c r="AA477" s="44"/>
      <c r="AB477" s="44"/>
      <c r="AC477" s="44"/>
      <c r="AD477" s="44"/>
      <c r="AE477" s="44"/>
      <c r="AF477" s="44"/>
      <c r="AG477" s="44"/>
      <c r="AH477" s="44"/>
      <c r="AI477" s="44"/>
      <c r="AJ477" s="44"/>
      <c r="AK477" s="44"/>
      <c r="AL477" s="44"/>
    </row>
    <row r="478" spans="1:38" ht="15.75" customHeight="1" x14ac:dyDescent="0.25">
      <c r="A478" s="44"/>
      <c r="B478" s="261">
        <v>21</v>
      </c>
      <c r="C478" s="261"/>
      <c r="D478" s="261"/>
      <c r="E478" s="261" t="s">
        <v>744</v>
      </c>
      <c r="F478" s="261"/>
      <c r="G478" s="276"/>
      <c r="H478" s="262"/>
      <c r="I478" s="286"/>
      <c r="J478" s="261"/>
      <c r="K478" s="291"/>
      <c r="L478" s="261"/>
      <c r="M478" s="261"/>
      <c r="N478" s="261"/>
      <c r="O478" s="261"/>
      <c r="P478" s="263"/>
      <c r="Q478" s="263"/>
      <c r="R478" s="44"/>
      <c r="S478" s="49">
        <f t="shared" si="181"/>
        <v>0</v>
      </c>
      <c r="T478" s="44"/>
      <c r="U478" s="44"/>
      <c r="V478" s="44"/>
      <c r="W478" s="44"/>
      <c r="X478" s="44"/>
      <c r="Y478" s="44"/>
      <c r="Z478" s="44"/>
      <c r="AA478" s="44"/>
      <c r="AB478" s="44"/>
      <c r="AC478" s="44"/>
      <c r="AD478" s="44"/>
      <c r="AE478" s="44"/>
      <c r="AF478" s="44"/>
      <c r="AG478" s="44"/>
      <c r="AH478" s="44"/>
      <c r="AI478" s="44"/>
      <c r="AJ478" s="44"/>
      <c r="AK478" s="44"/>
      <c r="AL478" s="44"/>
    </row>
    <row r="479" spans="1:38" ht="15.75" customHeight="1" x14ac:dyDescent="0.25">
      <c r="A479" s="44"/>
      <c r="B479" s="265" t="s">
        <v>291</v>
      </c>
      <c r="C479" s="266" t="s">
        <v>307</v>
      </c>
      <c r="D479" s="265" t="s">
        <v>146</v>
      </c>
      <c r="E479" s="265" t="s">
        <v>308</v>
      </c>
      <c r="F479" s="267" t="s">
        <v>41</v>
      </c>
      <c r="G479" s="277">
        <v>500.17</v>
      </c>
      <c r="H479" s="268">
        <v>11.67</v>
      </c>
      <c r="I479" s="287">
        <f>1.56+5.46</f>
        <v>7.02</v>
      </c>
      <c r="J479" s="268">
        <f>I479*(1+$M$9)</f>
        <v>8.91</v>
      </c>
      <c r="K479" s="292">
        <f>H479-I479</f>
        <v>4.6500000000000004</v>
      </c>
      <c r="L479" s="268">
        <f>K479*(1+$M$9)</f>
        <v>5.9</v>
      </c>
      <c r="M479" s="268">
        <f>L479+J479</f>
        <v>14.81</v>
      </c>
      <c r="N479" s="268">
        <f>J479*G479</f>
        <v>4456.51</v>
      </c>
      <c r="O479" s="268">
        <f>L479*G479</f>
        <v>2951</v>
      </c>
      <c r="P479" s="268">
        <f>O479+N479</f>
        <v>7407.51</v>
      </c>
      <c r="Q479" s="269">
        <f>P479/$O$485</f>
        <v>2.8999999999999998E-3</v>
      </c>
      <c r="R479" s="44"/>
      <c r="S479" s="49">
        <f t="shared" si="181"/>
        <v>5836.98</v>
      </c>
      <c r="T479" s="44"/>
      <c r="U479" s="44"/>
      <c r="V479" s="44"/>
      <c r="W479" s="44"/>
      <c r="X479" s="44"/>
      <c r="Y479" s="44"/>
      <c r="Z479" s="44"/>
      <c r="AA479" s="44"/>
      <c r="AB479" s="44"/>
      <c r="AC479" s="44"/>
      <c r="AD479" s="44"/>
      <c r="AE479" s="44"/>
      <c r="AF479" s="44"/>
      <c r="AG479" s="44"/>
      <c r="AH479" s="44"/>
      <c r="AI479" s="44"/>
      <c r="AJ479" s="44"/>
      <c r="AK479" s="44"/>
      <c r="AL479" s="44"/>
    </row>
    <row r="480" spans="1:38" ht="15.75" customHeight="1" x14ac:dyDescent="0.25">
      <c r="A480" s="44"/>
      <c r="B480" s="265" t="s">
        <v>1594</v>
      </c>
      <c r="C480" s="266" t="s">
        <v>1595</v>
      </c>
      <c r="D480" s="265" t="s">
        <v>146</v>
      </c>
      <c r="E480" s="265" t="s">
        <v>1596</v>
      </c>
      <c r="F480" s="267" t="s">
        <v>41</v>
      </c>
      <c r="G480" s="277">
        <v>500.17</v>
      </c>
      <c r="H480" s="268">
        <v>2.39</v>
      </c>
      <c r="I480" s="287">
        <f>0.39+1.37</f>
        <v>1.76</v>
      </c>
      <c r="J480" s="268">
        <f>I480*(1+$M$9)</f>
        <v>2.23</v>
      </c>
      <c r="K480" s="292">
        <f>H480-I480</f>
        <v>0.63</v>
      </c>
      <c r="L480" s="268">
        <f>K480*(1+$M$9)</f>
        <v>0.8</v>
      </c>
      <c r="M480" s="268">
        <f>L480+J480</f>
        <v>3.03</v>
      </c>
      <c r="N480" s="268">
        <f>J480*G480</f>
        <v>1115.3800000000001</v>
      </c>
      <c r="O480" s="268">
        <f>L480*G480</f>
        <v>400.14</v>
      </c>
      <c r="P480" s="268">
        <f>O480+N480</f>
        <v>1515.52</v>
      </c>
      <c r="Q480" s="269">
        <f>P480/$O$485</f>
        <v>5.9999999999999995E-4</v>
      </c>
      <c r="R480" s="44"/>
      <c r="S480" s="49">
        <f t="shared" si="181"/>
        <v>1195.4100000000001</v>
      </c>
      <c r="T480" s="44"/>
      <c r="U480" s="44"/>
      <c r="V480" s="44"/>
      <c r="W480" s="44"/>
      <c r="X480" s="44"/>
      <c r="Y480" s="44"/>
      <c r="Z480" s="44"/>
      <c r="AA480" s="44"/>
      <c r="AB480" s="44"/>
      <c r="AC480" s="44"/>
      <c r="AD480" s="44"/>
      <c r="AE480" s="44"/>
      <c r="AF480" s="44"/>
      <c r="AG480" s="44"/>
      <c r="AH480" s="44"/>
      <c r="AI480" s="44"/>
      <c r="AJ480" s="44"/>
      <c r="AK480" s="44"/>
      <c r="AL480" s="44"/>
    </row>
    <row r="481" spans="1:38" ht="15.75" customHeight="1" x14ac:dyDescent="0.25">
      <c r="A481" s="44"/>
      <c r="B481" s="270"/>
      <c r="C481" s="270"/>
      <c r="D481" s="270"/>
      <c r="E481" s="270"/>
      <c r="F481" s="270"/>
      <c r="G481" s="278"/>
      <c r="H481" s="270"/>
      <c r="I481" s="270"/>
      <c r="J481" s="270"/>
      <c r="K481" s="270"/>
      <c r="L481" s="270"/>
      <c r="M481" s="270" t="s">
        <v>313</v>
      </c>
      <c r="N481" s="270"/>
      <c r="O481" s="270"/>
      <c r="P481" s="270"/>
      <c r="Q481" s="270"/>
      <c r="R481" s="44"/>
      <c r="S481" s="45">
        <f>SUM(S20:S480)</f>
        <v>1996637.95</v>
      </c>
      <c r="T481" s="44"/>
      <c r="U481" s="44"/>
      <c r="V481" s="44"/>
      <c r="W481" s="44"/>
      <c r="X481" s="44"/>
      <c r="Y481" s="44"/>
      <c r="Z481" s="44"/>
      <c r="AA481" s="44"/>
      <c r="AB481" s="44"/>
      <c r="AC481" s="44"/>
      <c r="AD481" s="44"/>
      <c r="AE481" s="44"/>
      <c r="AF481" s="44"/>
      <c r="AG481" s="44"/>
      <c r="AH481" s="44"/>
      <c r="AI481" s="44"/>
      <c r="AJ481" s="44"/>
      <c r="AK481" s="44"/>
      <c r="AL481" s="44"/>
    </row>
    <row r="482" spans="1:38" ht="15.75" customHeight="1" x14ac:dyDescent="0.25">
      <c r="A482" s="44"/>
      <c r="B482" s="271"/>
      <c r="C482" s="271"/>
      <c r="D482" s="271"/>
      <c r="E482" s="271"/>
      <c r="F482" s="271"/>
      <c r="G482" s="279"/>
      <c r="H482" s="271"/>
      <c r="I482" s="271"/>
      <c r="J482" s="271"/>
      <c r="K482" s="271"/>
      <c r="L482" s="271"/>
      <c r="M482" s="271"/>
      <c r="N482" s="271"/>
      <c r="O482" s="271"/>
      <c r="P482" s="271"/>
      <c r="Q482" s="271"/>
      <c r="R482" s="44"/>
      <c r="S482" s="44"/>
      <c r="T482" s="44"/>
      <c r="U482" s="44"/>
      <c r="V482" s="44"/>
      <c r="W482" s="44"/>
      <c r="X482" s="44"/>
      <c r="Y482" s="44"/>
      <c r="Z482" s="44"/>
      <c r="AA482" s="44"/>
      <c r="AB482" s="44"/>
      <c r="AC482" s="44"/>
      <c r="AD482" s="44"/>
      <c r="AE482" s="44"/>
      <c r="AF482" s="44"/>
      <c r="AG482" s="44"/>
      <c r="AH482" s="44"/>
      <c r="AI482" s="44"/>
      <c r="AJ482" s="44"/>
      <c r="AK482" s="44"/>
      <c r="AL482" s="44"/>
    </row>
    <row r="483" spans="1:38" ht="15.75" customHeight="1" x14ac:dyDescent="0.25">
      <c r="A483" s="44"/>
      <c r="B483" s="357"/>
      <c r="C483" s="357"/>
      <c r="D483" s="357"/>
      <c r="E483" s="272"/>
      <c r="F483" s="270"/>
      <c r="G483" s="278"/>
      <c r="H483" s="270"/>
      <c r="I483" s="270"/>
      <c r="J483" s="270"/>
      <c r="K483" s="270"/>
      <c r="L483" s="270"/>
      <c r="M483" s="358" t="s">
        <v>314</v>
      </c>
      <c r="N483" s="357"/>
      <c r="O483" s="359">
        <f>S481</f>
        <v>1996637.95</v>
      </c>
      <c r="P483" s="357"/>
      <c r="Q483" s="357"/>
      <c r="R483" s="325">
        <f>O483/O485</f>
        <v>0.78959999999999997</v>
      </c>
      <c r="S483" s="44"/>
      <c r="T483" s="44"/>
      <c r="U483" s="44"/>
      <c r="V483" s="44"/>
      <c r="W483" s="44"/>
      <c r="X483" s="44"/>
      <c r="Y483" s="44"/>
      <c r="Z483" s="44"/>
      <c r="AA483" s="44"/>
      <c r="AB483" s="44"/>
      <c r="AC483" s="44"/>
      <c r="AD483" s="44"/>
      <c r="AE483" s="44"/>
      <c r="AF483" s="44"/>
      <c r="AG483" s="44"/>
      <c r="AH483" s="44"/>
      <c r="AI483" s="44"/>
      <c r="AJ483" s="44"/>
      <c r="AK483" s="44"/>
      <c r="AL483" s="44"/>
    </row>
    <row r="484" spans="1:38" ht="15.75" customHeight="1" x14ac:dyDescent="0.25">
      <c r="A484" s="44"/>
      <c r="B484" s="357"/>
      <c r="C484" s="357"/>
      <c r="D484" s="357"/>
      <c r="E484" s="272"/>
      <c r="F484" s="270"/>
      <c r="G484" s="278"/>
      <c r="H484" s="270"/>
      <c r="I484" s="270"/>
      <c r="J484" s="270"/>
      <c r="K484" s="270"/>
      <c r="L484" s="270"/>
      <c r="M484" s="358" t="s">
        <v>315</v>
      </c>
      <c r="N484" s="357"/>
      <c r="O484" s="359">
        <f>O485-O483</f>
        <v>531997.69999999995</v>
      </c>
      <c r="P484" s="357"/>
      <c r="Q484" s="357"/>
      <c r="R484" s="325">
        <f>O484/O485</f>
        <v>0.2104</v>
      </c>
      <c r="S484" s="44"/>
      <c r="T484" s="44"/>
      <c r="U484" s="44"/>
      <c r="V484" s="44"/>
      <c r="W484" s="44"/>
      <c r="X484" s="44"/>
      <c r="Y484" s="44"/>
      <c r="Z484" s="44"/>
      <c r="AA484" s="44"/>
      <c r="AB484" s="44"/>
      <c r="AC484" s="44"/>
      <c r="AD484" s="44"/>
      <c r="AE484" s="44"/>
      <c r="AF484" s="44"/>
      <c r="AG484" s="44"/>
      <c r="AH484" s="44"/>
      <c r="AI484" s="44"/>
      <c r="AJ484" s="44"/>
      <c r="AK484" s="44"/>
      <c r="AL484" s="44"/>
    </row>
    <row r="485" spans="1:38" ht="15.75" customHeight="1" x14ac:dyDescent="0.25">
      <c r="A485" s="44"/>
      <c r="B485" s="357"/>
      <c r="C485" s="357"/>
      <c r="D485" s="357"/>
      <c r="E485" s="272"/>
      <c r="F485" s="270"/>
      <c r="G485" s="278"/>
      <c r="H485" s="270"/>
      <c r="I485" s="270"/>
      <c r="J485" s="270"/>
      <c r="K485" s="270"/>
      <c r="L485" s="270"/>
      <c r="M485" s="383" t="s">
        <v>316</v>
      </c>
      <c r="N485" s="384"/>
      <c r="O485" s="385">
        <f>SUM(P20:P480)</f>
        <v>2528635.65</v>
      </c>
      <c r="P485" s="384"/>
      <c r="Q485" s="384"/>
      <c r="R485" s="44"/>
      <c r="S485" s="44"/>
      <c r="T485" s="44"/>
      <c r="U485" s="44"/>
      <c r="V485" s="44"/>
      <c r="W485" s="44"/>
      <c r="X485" s="44"/>
      <c r="Y485" s="44"/>
      <c r="Z485" s="44"/>
      <c r="AA485" s="44"/>
      <c r="AB485" s="44"/>
      <c r="AC485" s="44"/>
      <c r="AD485" s="44"/>
      <c r="AE485" s="44"/>
      <c r="AF485" s="44"/>
      <c r="AG485" s="44"/>
      <c r="AH485" s="44"/>
      <c r="AI485" s="44"/>
      <c r="AJ485" s="44"/>
      <c r="AK485" s="44"/>
      <c r="AL485" s="44"/>
    </row>
    <row r="486" spans="1:38" ht="15.75" customHeight="1" x14ac:dyDescent="0.25">
      <c r="A486" s="44"/>
      <c r="B486" s="357"/>
      <c r="C486" s="357"/>
      <c r="D486" s="357"/>
      <c r="E486" s="272"/>
      <c r="F486" s="270"/>
      <c r="G486" s="278"/>
      <c r="H486" s="270"/>
      <c r="I486" s="270"/>
      <c r="J486" s="270"/>
      <c r="K486" s="270"/>
      <c r="L486" s="270"/>
      <c r="M486" s="358"/>
      <c r="N486" s="357"/>
      <c r="O486" s="359"/>
      <c r="P486" s="357"/>
      <c r="Q486" s="357"/>
      <c r="R486" s="44"/>
      <c r="S486" s="44"/>
      <c r="T486" s="44"/>
      <c r="U486" s="44"/>
      <c r="V486" s="44"/>
      <c r="W486" s="44"/>
      <c r="X486" s="44"/>
      <c r="Y486" s="44"/>
      <c r="Z486" s="44"/>
      <c r="AA486" s="44"/>
      <c r="AB486" s="44"/>
      <c r="AC486" s="44"/>
      <c r="AD486" s="44"/>
      <c r="AE486" s="44"/>
      <c r="AF486" s="44"/>
      <c r="AG486" s="44"/>
      <c r="AH486" s="44"/>
      <c r="AI486" s="44"/>
      <c r="AJ486" s="44"/>
      <c r="AK486" s="44"/>
      <c r="AL486" s="44"/>
    </row>
    <row r="487" spans="1:38" ht="15.75" customHeight="1" x14ac:dyDescent="0.25">
      <c r="A487" s="44"/>
      <c r="B487" s="357"/>
      <c r="C487" s="357"/>
      <c r="D487" s="357"/>
      <c r="E487" s="272"/>
      <c r="F487" s="270"/>
      <c r="G487" s="278"/>
      <c r="H487" s="270"/>
      <c r="I487" s="270"/>
      <c r="J487" s="270"/>
      <c r="K487" s="270"/>
      <c r="L487" s="270"/>
      <c r="M487" s="358"/>
      <c r="N487" s="357"/>
      <c r="O487" s="359"/>
      <c r="P487" s="357"/>
      <c r="Q487" s="357"/>
      <c r="R487" s="44"/>
      <c r="S487" s="44"/>
      <c r="T487" s="44"/>
      <c r="U487" s="44"/>
      <c r="V487" s="44"/>
      <c r="W487" s="44"/>
      <c r="X487" s="44"/>
      <c r="Y487" s="44"/>
      <c r="Z487" s="44"/>
      <c r="AA487" s="44"/>
      <c r="AB487" s="44"/>
      <c r="AC487" s="44"/>
      <c r="AD487" s="44"/>
      <c r="AE487" s="44"/>
      <c r="AF487" s="44"/>
      <c r="AG487" s="44"/>
      <c r="AH487" s="44"/>
      <c r="AI487" s="44"/>
      <c r="AJ487" s="44"/>
      <c r="AK487" s="44"/>
      <c r="AL487" s="44"/>
    </row>
    <row r="488" spans="1:38" ht="15.75" customHeight="1" x14ac:dyDescent="0.25">
      <c r="A488" s="44"/>
      <c r="B488" s="357"/>
      <c r="C488" s="357"/>
      <c r="D488" s="357"/>
      <c r="E488" s="272"/>
      <c r="F488" s="270"/>
      <c r="G488" s="278"/>
      <c r="H488" s="270"/>
      <c r="I488" s="270"/>
      <c r="J488" s="270"/>
      <c r="K488" s="270"/>
      <c r="L488" s="270"/>
      <c r="M488" s="358"/>
      <c r="N488" s="357"/>
      <c r="O488" s="359"/>
      <c r="P488" s="357"/>
      <c r="Q488" s="357"/>
      <c r="R488" s="44"/>
      <c r="S488" s="44"/>
      <c r="T488" s="44"/>
      <c r="U488" s="44"/>
      <c r="V488" s="44"/>
      <c r="W488" s="44"/>
      <c r="X488" s="44"/>
      <c r="Y488" s="44"/>
      <c r="Z488" s="44"/>
      <c r="AA488" s="44"/>
      <c r="AB488" s="44"/>
      <c r="AC488" s="44"/>
      <c r="AD488" s="44"/>
      <c r="AE488" s="44"/>
      <c r="AF488" s="44"/>
      <c r="AG488" s="44"/>
      <c r="AH488" s="44"/>
      <c r="AI488" s="44"/>
      <c r="AJ488" s="44"/>
      <c r="AK488" s="44"/>
      <c r="AL488" s="44"/>
    </row>
    <row r="489" spans="1:38" ht="15.75" customHeight="1" x14ac:dyDescent="0.25">
      <c r="A489" s="44"/>
      <c r="B489" s="44"/>
      <c r="C489" s="44"/>
      <c r="D489" s="44"/>
      <c r="E489" s="44"/>
      <c r="F489" s="44"/>
      <c r="G489" s="205"/>
      <c r="H489" s="44"/>
      <c r="I489" s="44"/>
      <c r="J489" s="44"/>
      <c r="K489" s="44"/>
      <c r="L489" s="44"/>
      <c r="M489" s="44"/>
      <c r="N489" s="44"/>
      <c r="O489" s="44"/>
      <c r="P489" s="44"/>
      <c r="Q489" s="44"/>
      <c r="R489" s="44"/>
      <c r="S489" s="44"/>
      <c r="T489" s="44"/>
      <c r="U489" s="44"/>
      <c r="V489" s="44"/>
      <c r="W489" s="44"/>
      <c r="X489" s="44"/>
      <c r="Y489" s="44"/>
      <c r="Z489" s="44"/>
      <c r="AA489" s="44"/>
      <c r="AB489" s="44"/>
      <c r="AC489" s="44"/>
      <c r="AD489" s="44"/>
      <c r="AE489" s="44"/>
      <c r="AF489" s="44"/>
      <c r="AG489" s="44"/>
      <c r="AH489" s="44"/>
      <c r="AI489" s="44"/>
      <c r="AJ489" s="44"/>
      <c r="AK489" s="44"/>
      <c r="AL489" s="44"/>
    </row>
    <row r="490" spans="1:38" ht="15.75" customHeight="1" x14ac:dyDescent="0.25">
      <c r="A490" s="44"/>
      <c r="B490" s="44"/>
      <c r="C490" s="44"/>
      <c r="D490" s="44"/>
      <c r="E490" s="44"/>
      <c r="F490" s="44"/>
      <c r="G490" s="205"/>
      <c r="H490" s="44"/>
      <c r="I490" s="44"/>
      <c r="J490" s="44"/>
      <c r="K490" s="44"/>
      <c r="L490" s="44"/>
      <c r="M490" s="44"/>
      <c r="N490" s="44"/>
      <c r="O490" s="44"/>
      <c r="P490" s="44"/>
      <c r="Q490" s="44"/>
      <c r="R490" s="44"/>
      <c r="S490" s="44"/>
      <c r="T490" s="44"/>
      <c r="U490" s="44"/>
      <c r="V490" s="44"/>
      <c r="W490" s="44"/>
      <c r="X490" s="44"/>
      <c r="Y490" s="44"/>
      <c r="Z490" s="44"/>
      <c r="AA490" s="44"/>
      <c r="AB490" s="44"/>
      <c r="AC490" s="44"/>
      <c r="AD490" s="44"/>
      <c r="AE490" s="44"/>
      <c r="AF490" s="44"/>
      <c r="AG490" s="44"/>
      <c r="AH490" s="44"/>
      <c r="AI490" s="44"/>
      <c r="AJ490" s="44"/>
      <c r="AK490" s="44"/>
      <c r="AL490" s="44"/>
    </row>
    <row r="491" spans="1:38" ht="15.75" customHeight="1" x14ac:dyDescent="0.25">
      <c r="A491" s="44"/>
      <c r="B491" s="44"/>
      <c r="C491" s="44"/>
      <c r="D491" s="44"/>
      <c r="E491" s="44"/>
      <c r="F491" s="44"/>
      <c r="G491" s="205"/>
      <c r="H491" s="44"/>
      <c r="I491" s="44"/>
      <c r="J491" s="44"/>
      <c r="K491" s="44"/>
      <c r="L491" s="44"/>
      <c r="M491" s="44"/>
      <c r="N491" s="44"/>
      <c r="O491" s="44"/>
      <c r="P491" s="44"/>
      <c r="Q491" s="44"/>
      <c r="R491" s="44"/>
      <c r="S491" s="44"/>
      <c r="T491" s="44"/>
      <c r="U491" s="44"/>
      <c r="V491" s="44"/>
      <c r="W491" s="44"/>
      <c r="X491" s="44"/>
      <c r="Y491" s="44"/>
      <c r="Z491" s="44"/>
      <c r="AA491" s="44"/>
      <c r="AB491" s="44"/>
      <c r="AC491" s="44"/>
      <c r="AD491" s="44"/>
      <c r="AE491" s="44"/>
      <c r="AF491" s="44"/>
      <c r="AG491" s="44"/>
      <c r="AH491" s="44"/>
      <c r="AI491" s="44"/>
      <c r="AJ491" s="44"/>
      <c r="AK491" s="44"/>
      <c r="AL491" s="44"/>
    </row>
    <row r="492" spans="1:38" ht="15.75" customHeight="1" x14ac:dyDescent="0.25">
      <c r="A492" s="44"/>
      <c r="B492" s="44"/>
      <c r="C492" s="44"/>
      <c r="D492" s="44"/>
      <c r="E492" s="44"/>
      <c r="F492" s="44"/>
      <c r="G492" s="205"/>
      <c r="H492" s="44"/>
      <c r="I492" s="44"/>
      <c r="J492" s="44"/>
      <c r="K492" s="44"/>
      <c r="L492" s="44"/>
      <c r="M492" s="44"/>
      <c r="N492" s="44"/>
      <c r="O492" s="44"/>
      <c r="P492" s="44"/>
      <c r="Q492" s="44"/>
      <c r="R492" s="44"/>
      <c r="S492" s="44"/>
      <c r="T492" s="44"/>
      <c r="U492" s="44"/>
      <c r="V492" s="44"/>
      <c r="W492" s="44"/>
      <c r="X492" s="44"/>
      <c r="Y492" s="44"/>
      <c r="Z492" s="44"/>
      <c r="AA492" s="44"/>
      <c r="AB492" s="44"/>
      <c r="AC492" s="44"/>
      <c r="AD492" s="44"/>
      <c r="AE492" s="44"/>
      <c r="AF492" s="44"/>
      <c r="AG492" s="44"/>
      <c r="AH492" s="44"/>
      <c r="AI492" s="44"/>
      <c r="AJ492" s="44"/>
      <c r="AK492" s="44"/>
      <c r="AL492" s="44"/>
    </row>
    <row r="493" spans="1:38" ht="15.75" customHeight="1" x14ac:dyDescent="0.25">
      <c r="A493" s="44"/>
      <c r="B493" s="44"/>
      <c r="C493" s="44"/>
      <c r="D493" s="44"/>
      <c r="E493" s="44"/>
      <c r="F493" s="44"/>
      <c r="G493" s="205"/>
      <c r="H493" s="44"/>
      <c r="I493" s="44"/>
      <c r="J493" s="44"/>
      <c r="K493" s="44"/>
      <c r="L493" s="44"/>
      <c r="M493" s="44"/>
      <c r="N493" s="44"/>
      <c r="O493" s="44"/>
      <c r="P493" s="44"/>
      <c r="Q493" s="44"/>
      <c r="R493" s="44"/>
      <c r="S493" s="44"/>
      <c r="T493" s="44"/>
      <c r="U493" s="44"/>
      <c r="V493" s="44"/>
      <c r="W493" s="44"/>
      <c r="X493" s="44"/>
      <c r="Y493" s="44"/>
      <c r="Z493" s="44"/>
      <c r="AA493" s="44"/>
      <c r="AB493" s="44"/>
      <c r="AC493" s="44"/>
      <c r="AD493" s="44"/>
      <c r="AE493" s="44"/>
      <c r="AF493" s="44"/>
      <c r="AG493" s="44"/>
      <c r="AH493" s="44"/>
      <c r="AI493" s="44"/>
      <c r="AJ493" s="44"/>
      <c r="AK493" s="44"/>
      <c r="AL493" s="44"/>
    </row>
    <row r="494" spans="1:38" ht="15.75" customHeight="1" x14ac:dyDescent="0.25">
      <c r="A494" s="44"/>
      <c r="B494" s="44"/>
      <c r="C494" s="44"/>
      <c r="D494" s="44"/>
      <c r="E494" s="44"/>
      <c r="F494" s="44"/>
      <c r="G494" s="205"/>
      <c r="H494" s="44"/>
      <c r="I494" s="44"/>
      <c r="J494" s="44"/>
      <c r="K494" s="44"/>
      <c r="L494" s="44"/>
      <c r="M494" s="44"/>
      <c r="N494" s="44"/>
      <c r="O494" s="44"/>
      <c r="P494" s="44"/>
      <c r="Q494" s="44"/>
      <c r="R494" s="44"/>
      <c r="S494" s="44"/>
      <c r="T494" s="44"/>
      <c r="U494" s="44"/>
      <c r="V494" s="44"/>
      <c r="W494" s="44"/>
      <c r="X494" s="44"/>
      <c r="Y494" s="44"/>
      <c r="Z494" s="44"/>
      <c r="AA494" s="44"/>
      <c r="AB494" s="44"/>
      <c r="AC494" s="44"/>
      <c r="AD494" s="44"/>
      <c r="AE494" s="44"/>
      <c r="AF494" s="44"/>
      <c r="AG494" s="44"/>
      <c r="AH494" s="44"/>
      <c r="AI494" s="44"/>
      <c r="AJ494" s="44"/>
      <c r="AK494" s="44"/>
      <c r="AL494" s="44"/>
    </row>
    <row r="495" spans="1:38" ht="15.75" customHeight="1" x14ac:dyDescent="0.25">
      <c r="A495" s="44"/>
      <c r="B495" s="44"/>
      <c r="C495" s="44"/>
      <c r="D495" s="44"/>
      <c r="E495" s="44"/>
      <c r="F495" s="44"/>
      <c r="G495" s="205"/>
      <c r="H495" s="44"/>
      <c r="I495" s="44"/>
      <c r="J495" s="44"/>
      <c r="K495" s="44"/>
      <c r="L495" s="44"/>
      <c r="M495" s="44"/>
      <c r="N495" s="44"/>
      <c r="O495" s="44"/>
      <c r="P495" s="44"/>
      <c r="Q495" s="44"/>
      <c r="R495" s="44"/>
      <c r="S495" s="44"/>
      <c r="T495" s="44"/>
      <c r="U495" s="44"/>
      <c r="V495" s="44"/>
      <c r="W495" s="44"/>
      <c r="X495" s="44"/>
      <c r="Y495" s="44"/>
      <c r="Z495" s="44"/>
      <c r="AA495" s="44"/>
      <c r="AB495" s="44"/>
      <c r="AC495" s="44"/>
      <c r="AD495" s="44"/>
      <c r="AE495" s="44"/>
      <c r="AF495" s="44"/>
      <c r="AG495" s="44"/>
      <c r="AH495" s="44"/>
      <c r="AI495" s="44"/>
      <c r="AJ495" s="44"/>
      <c r="AK495" s="44"/>
      <c r="AL495" s="44"/>
    </row>
    <row r="496" spans="1:38" ht="15.75" customHeight="1" x14ac:dyDescent="0.25">
      <c r="A496" s="44"/>
      <c r="B496" s="44"/>
      <c r="C496" s="44"/>
      <c r="D496" s="44"/>
      <c r="E496" s="44"/>
      <c r="F496" s="44"/>
      <c r="G496" s="205"/>
      <c r="H496" s="44"/>
      <c r="I496" s="44"/>
      <c r="J496" s="44"/>
      <c r="K496" s="44"/>
      <c r="L496" s="44"/>
      <c r="M496" s="44"/>
      <c r="N496" s="44"/>
      <c r="O496" s="44"/>
      <c r="P496" s="44"/>
      <c r="Q496" s="44"/>
      <c r="R496" s="44"/>
      <c r="S496" s="44"/>
      <c r="T496" s="44"/>
      <c r="U496" s="44"/>
      <c r="V496" s="44"/>
      <c r="W496" s="44"/>
      <c r="X496" s="44"/>
      <c r="Y496" s="44"/>
      <c r="Z496" s="44"/>
      <c r="AA496" s="44"/>
      <c r="AB496" s="44"/>
      <c r="AC496" s="44"/>
      <c r="AD496" s="44"/>
      <c r="AE496" s="44"/>
      <c r="AF496" s="44"/>
      <c r="AG496" s="44"/>
      <c r="AH496" s="44"/>
      <c r="AI496" s="44"/>
      <c r="AJ496" s="44"/>
      <c r="AK496" s="44"/>
      <c r="AL496" s="44"/>
    </row>
    <row r="497" spans="1:38" ht="15.75" customHeight="1" x14ac:dyDescent="0.25">
      <c r="A497" s="44"/>
      <c r="B497" s="44"/>
      <c r="C497" s="44"/>
      <c r="D497" s="44"/>
      <c r="E497" s="44"/>
      <c r="F497" s="44"/>
      <c r="G497" s="205"/>
      <c r="H497" s="44"/>
      <c r="I497" s="44"/>
      <c r="J497" s="44"/>
      <c r="K497" s="44"/>
      <c r="L497" s="44"/>
      <c r="M497" s="44"/>
      <c r="N497" s="44"/>
      <c r="O497" s="44"/>
      <c r="P497" s="44"/>
      <c r="Q497" s="44"/>
      <c r="R497" s="44"/>
      <c r="S497" s="44"/>
      <c r="T497" s="44"/>
      <c r="U497" s="44"/>
      <c r="V497" s="44"/>
      <c r="W497" s="44"/>
      <c r="X497" s="44"/>
      <c r="Y497" s="44"/>
      <c r="Z497" s="44"/>
      <c r="AA497" s="44"/>
      <c r="AB497" s="44"/>
      <c r="AC497" s="44"/>
      <c r="AD497" s="44"/>
      <c r="AE497" s="44"/>
      <c r="AF497" s="44"/>
      <c r="AG497" s="44"/>
      <c r="AH497" s="44"/>
      <c r="AI497" s="44"/>
      <c r="AJ497" s="44"/>
      <c r="AK497" s="44"/>
      <c r="AL497" s="44"/>
    </row>
    <row r="498" spans="1:38" ht="15.75" customHeight="1" x14ac:dyDescent="0.25">
      <c r="A498" s="44"/>
      <c r="B498" s="44"/>
      <c r="C498" s="44"/>
      <c r="D498" s="44"/>
      <c r="E498" s="44"/>
      <c r="F498" s="44"/>
      <c r="G498" s="205"/>
      <c r="H498" s="44"/>
      <c r="I498" s="44"/>
      <c r="J498" s="44"/>
      <c r="K498" s="44"/>
      <c r="L498" s="44"/>
      <c r="M498" s="44"/>
      <c r="N498" s="44"/>
      <c r="O498" s="44"/>
      <c r="P498" s="44"/>
      <c r="Q498" s="44"/>
      <c r="R498" s="44"/>
      <c r="S498" s="44"/>
      <c r="T498" s="44"/>
      <c r="U498" s="44"/>
      <c r="V498" s="44"/>
      <c r="W498" s="44"/>
      <c r="X498" s="44"/>
      <c r="Y498" s="44"/>
      <c r="Z498" s="44"/>
      <c r="AA498" s="44"/>
      <c r="AB498" s="44"/>
      <c r="AC498" s="44"/>
      <c r="AD498" s="44"/>
      <c r="AE498" s="44"/>
      <c r="AF498" s="44"/>
      <c r="AG498" s="44"/>
      <c r="AH498" s="44"/>
      <c r="AI498" s="44"/>
      <c r="AJ498" s="44"/>
      <c r="AK498" s="44"/>
      <c r="AL498" s="44"/>
    </row>
    <row r="499" spans="1:38" ht="15.75" customHeight="1" x14ac:dyDescent="0.25">
      <c r="A499" s="44"/>
      <c r="B499" s="44"/>
      <c r="C499" s="44"/>
      <c r="D499" s="44"/>
      <c r="E499" s="44"/>
      <c r="F499" s="44"/>
      <c r="G499" s="205"/>
      <c r="H499" s="44"/>
      <c r="I499" s="44"/>
      <c r="J499" s="44"/>
      <c r="K499" s="44"/>
      <c r="L499" s="44"/>
      <c r="M499" s="44"/>
      <c r="N499" s="44"/>
      <c r="O499" s="44"/>
      <c r="P499" s="44"/>
      <c r="Q499" s="44"/>
      <c r="R499" s="44"/>
      <c r="S499" s="44"/>
      <c r="T499" s="44"/>
      <c r="U499" s="44"/>
      <c r="V499" s="44"/>
      <c r="W499" s="44"/>
      <c r="X499" s="44"/>
      <c r="Y499" s="44"/>
      <c r="Z499" s="44"/>
      <c r="AA499" s="44"/>
      <c r="AB499" s="44"/>
      <c r="AC499" s="44"/>
      <c r="AD499" s="44"/>
      <c r="AE499" s="44"/>
      <c r="AF499" s="44"/>
      <c r="AG499" s="44"/>
      <c r="AH499" s="44"/>
      <c r="AI499" s="44"/>
      <c r="AJ499" s="44"/>
      <c r="AK499" s="44"/>
      <c r="AL499" s="44"/>
    </row>
    <row r="500" spans="1:38" ht="15.75" customHeight="1" x14ac:dyDescent="0.25">
      <c r="A500" s="44"/>
      <c r="B500" s="44"/>
      <c r="C500" s="44"/>
      <c r="D500" s="44"/>
      <c r="E500" s="44"/>
      <c r="F500" s="44"/>
      <c r="G500" s="205"/>
      <c r="H500" s="44"/>
      <c r="I500" s="44"/>
      <c r="J500" s="44"/>
      <c r="K500" s="44"/>
      <c r="L500" s="44"/>
      <c r="M500" s="44"/>
      <c r="N500" s="44"/>
      <c r="O500" s="44"/>
      <c r="P500" s="44"/>
      <c r="Q500" s="44"/>
      <c r="R500" s="44"/>
      <c r="S500" s="44"/>
      <c r="T500" s="44"/>
      <c r="U500" s="44"/>
      <c r="V500" s="44"/>
      <c r="W500" s="44"/>
      <c r="X500" s="44"/>
      <c r="Y500" s="44"/>
      <c r="Z500" s="44"/>
      <c r="AA500" s="44"/>
      <c r="AB500" s="44"/>
      <c r="AC500" s="44"/>
      <c r="AD500" s="44"/>
      <c r="AE500" s="44"/>
      <c r="AF500" s="44"/>
      <c r="AG500" s="44"/>
      <c r="AH500" s="44"/>
      <c r="AI500" s="44"/>
      <c r="AJ500" s="44"/>
      <c r="AK500" s="44"/>
      <c r="AL500" s="44"/>
    </row>
    <row r="501" spans="1:38" ht="15.75" customHeight="1" x14ac:dyDescent="0.25">
      <c r="A501" s="44"/>
      <c r="B501" s="44"/>
      <c r="C501" s="44"/>
      <c r="D501" s="44"/>
      <c r="E501" s="44"/>
      <c r="F501" s="44"/>
      <c r="G501" s="205"/>
      <c r="H501" s="44"/>
      <c r="I501" s="44"/>
      <c r="J501" s="44"/>
      <c r="K501" s="44"/>
      <c r="L501" s="44"/>
      <c r="M501" s="44"/>
      <c r="N501" s="44"/>
      <c r="O501" s="44"/>
      <c r="P501" s="44"/>
      <c r="Q501" s="44"/>
      <c r="R501" s="44"/>
      <c r="S501" s="44"/>
      <c r="T501" s="44"/>
      <c r="U501" s="44"/>
      <c r="V501" s="44"/>
      <c r="W501" s="44"/>
      <c r="X501" s="44"/>
      <c r="Y501" s="44"/>
      <c r="Z501" s="44"/>
      <c r="AA501" s="44"/>
      <c r="AB501" s="44"/>
      <c r="AC501" s="44"/>
      <c r="AD501" s="44"/>
      <c r="AE501" s="44"/>
      <c r="AF501" s="44"/>
      <c r="AG501" s="44"/>
      <c r="AH501" s="44"/>
      <c r="AI501" s="44"/>
      <c r="AJ501" s="44"/>
      <c r="AK501" s="44"/>
      <c r="AL501" s="44"/>
    </row>
    <row r="502" spans="1:38" ht="15.75" customHeight="1" x14ac:dyDescent="0.25">
      <c r="A502" s="44"/>
      <c r="B502" s="44"/>
      <c r="C502" s="44"/>
      <c r="D502" s="44"/>
      <c r="E502" s="44"/>
      <c r="F502" s="44"/>
      <c r="G502" s="205"/>
      <c r="H502" s="44"/>
      <c r="I502" s="44"/>
      <c r="J502" s="44"/>
      <c r="K502" s="44"/>
      <c r="L502" s="44"/>
      <c r="M502" s="44"/>
      <c r="N502" s="44"/>
      <c r="O502" s="44"/>
      <c r="P502" s="44"/>
      <c r="Q502" s="44"/>
      <c r="R502" s="44"/>
      <c r="S502" s="44"/>
      <c r="T502" s="44"/>
      <c r="U502" s="44"/>
      <c r="V502" s="44"/>
      <c r="W502" s="44"/>
      <c r="X502" s="44"/>
      <c r="Y502" s="44"/>
      <c r="Z502" s="44"/>
      <c r="AA502" s="44"/>
      <c r="AB502" s="44"/>
      <c r="AC502" s="44"/>
      <c r="AD502" s="44"/>
      <c r="AE502" s="44"/>
      <c r="AF502" s="44"/>
      <c r="AG502" s="44"/>
      <c r="AH502" s="44"/>
      <c r="AI502" s="44"/>
      <c r="AJ502" s="44"/>
      <c r="AK502" s="44"/>
      <c r="AL502" s="44"/>
    </row>
    <row r="503" spans="1:38" ht="15.75" customHeight="1" x14ac:dyDescent="0.25">
      <c r="A503" s="44"/>
      <c r="B503" s="44"/>
      <c r="C503" s="44"/>
      <c r="D503" s="44"/>
      <c r="E503" s="44"/>
      <c r="F503" s="44"/>
      <c r="G503" s="205"/>
      <c r="H503" s="44"/>
      <c r="I503" s="44"/>
      <c r="J503" s="44"/>
      <c r="K503" s="44"/>
      <c r="L503" s="44"/>
      <c r="M503" s="44"/>
      <c r="N503" s="44"/>
      <c r="O503" s="44"/>
      <c r="P503" s="44"/>
      <c r="Q503" s="44"/>
      <c r="R503" s="44"/>
      <c r="S503" s="44"/>
      <c r="T503" s="44"/>
      <c r="U503" s="44"/>
      <c r="V503" s="44"/>
      <c r="W503" s="44"/>
      <c r="X503" s="44"/>
      <c r="Y503" s="44"/>
      <c r="Z503" s="44"/>
      <c r="AA503" s="44"/>
      <c r="AB503" s="44"/>
      <c r="AC503" s="44"/>
      <c r="AD503" s="44"/>
      <c r="AE503" s="44"/>
      <c r="AF503" s="44"/>
      <c r="AG503" s="44"/>
      <c r="AH503" s="44"/>
      <c r="AI503" s="44"/>
      <c r="AJ503" s="44"/>
      <c r="AK503" s="44"/>
      <c r="AL503" s="44"/>
    </row>
    <row r="504" spans="1:38" ht="15.75" customHeight="1" x14ac:dyDescent="0.25">
      <c r="A504" s="44"/>
      <c r="B504" s="44"/>
      <c r="C504" s="44"/>
      <c r="D504" s="44"/>
      <c r="E504" s="44"/>
      <c r="F504" s="44"/>
      <c r="G504" s="205"/>
      <c r="H504" s="44"/>
      <c r="I504" s="44"/>
      <c r="J504" s="44"/>
      <c r="K504" s="44"/>
      <c r="L504" s="44"/>
      <c r="M504" s="44"/>
      <c r="N504" s="44"/>
      <c r="O504" s="44"/>
      <c r="P504" s="44"/>
      <c r="Q504" s="44"/>
      <c r="R504" s="44"/>
      <c r="S504" s="44"/>
      <c r="T504" s="44"/>
      <c r="U504" s="44"/>
      <c r="V504" s="44"/>
      <c r="W504" s="44"/>
      <c r="X504" s="44"/>
      <c r="Y504" s="44"/>
      <c r="Z504" s="44"/>
      <c r="AA504" s="44"/>
      <c r="AB504" s="44"/>
      <c r="AC504" s="44"/>
      <c r="AD504" s="44"/>
      <c r="AE504" s="44"/>
      <c r="AF504" s="44"/>
      <c r="AG504" s="44"/>
      <c r="AH504" s="44"/>
      <c r="AI504" s="44"/>
      <c r="AJ504" s="44"/>
      <c r="AK504" s="44"/>
      <c r="AL504" s="44"/>
    </row>
    <row r="505" spans="1:38" ht="15.75" customHeight="1" x14ac:dyDescent="0.25">
      <c r="A505" s="44"/>
      <c r="B505" s="44"/>
      <c r="C505" s="44"/>
      <c r="D505" s="44"/>
      <c r="E505" s="44"/>
      <c r="F505" s="44"/>
      <c r="G505" s="205"/>
      <c r="H505" s="44"/>
      <c r="I505" s="44"/>
      <c r="J505" s="44"/>
      <c r="K505" s="44"/>
      <c r="L505" s="44"/>
      <c r="M505" s="44"/>
      <c r="N505" s="44"/>
      <c r="O505" s="44"/>
      <c r="P505" s="44"/>
      <c r="Q505" s="44"/>
      <c r="R505" s="44"/>
      <c r="S505" s="44"/>
      <c r="T505" s="44"/>
      <c r="U505" s="44"/>
      <c r="V505" s="44"/>
      <c r="W505" s="44"/>
      <c r="X505" s="44"/>
      <c r="Y505" s="44"/>
      <c r="Z505" s="44"/>
      <c r="AA505" s="44"/>
      <c r="AB505" s="44"/>
      <c r="AC505" s="44"/>
      <c r="AD505" s="44"/>
      <c r="AE505" s="44"/>
      <c r="AF505" s="44"/>
      <c r="AG505" s="44"/>
      <c r="AH505" s="44"/>
      <c r="AI505" s="44"/>
      <c r="AJ505" s="44"/>
      <c r="AK505" s="44"/>
      <c r="AL505" s="44"/>
    </row>
    <row r="506" spans="1:38" ht="15.75" customHeight="1" x14ac:dyDescent="0.25">
      <c r="A506" s="44"/>
      <c r="B506" s="44"/>
      <c r="C506" s="44"/>
      <c r="D506" s="44"/>
      <c r="E506" s="44"/>
      <c r="F506" s="44"/>
      <c r="G506" s="205"/>
      <c r="H506" s="44"/>
      <c r="I506" s="44"/>
      <c r="J506" s="44"/>
      <c r="K506" s="44"/>
      <c r="L506" s="44"/>
      <c r="M506" s="44"/>
      <c r="N506" s="44"/>
      <c r="O506" s="44"/>
      <c r="P506" s="44"/>
      <c r="Q506" s="44"/>
      <c r="R506" s="44"/>
      <c r="S506" s="44"/>
      <c r="T506" s="44"/>
      <c r="U506" s="44"/>
      <c r="V506" s="44"/>
      <c r="W506" s="44"/>
      <c r="X506" s="44"/>
      <c r="Y506" s="44"/>
      <c r="Z506" s="44"/>
      <c r="AA506" s="44"/>
      <c r="AB506" s="44"/>
      <c r="AC506" s="44"/>
      <c r="AD506" s="44"/>
      <c r="AE506" s="44"/>
      <c r="AF506" s="44"/>
      <c r="AG506" s="44"/>
      <c r="AH506" s="44"/>
      <c r="AI506" s="44"/>
      <c r="AJ506" s="44"/>
      <c r="AK506" s="44"/>
      <c r="AL506" s="44"/>
    </row>
    <row r="507" spans="1:38" ht="15.75" customHeight="1" x14ac:dyDescent="0.25">
      <c r="A507" s="44"/>
      <c r="B507" s="44"/>
      <c r="C507" s="44"/>
      <c r="D507" s="44"/>
      <c r="E507" s="44"/>
      <c r="F507" s="44"/>
      <c r="G507" s="205"/>
      <c r="H507" s="44"/>
      <c r="I507" s="44"/>
      <c r="J507" s="44"/>
      <c r="K507" s="44"/>
      <c r="L507" s="44"/>
      <c r="M507" s="44"/>
      <c r="N507" s="44"/>
      <c r="O507" s="44"/>
      <c r="P507" s="44"/>
      <c r="Q507" s="44"/>
      <c r="R507" s="44"/>
      <c r="S507" s="44"/>
      <c r="T507" s="44"/>
      <c r="U507" s="44"/>
      <c r="V507" s="44"/>
      <c r="W507" s="44"/>
      <c r="X507" s="44"/>
      <c r="Y507" s="44"/>
      <c r="Z507" s="44"/>
      <c r="AA507" s="44"/>
      <c r="AB507" s="44"/>
      <c r="AC507" s="44"/>
      <c r="AD507" s="44"/>
      <c r="AE507" s="44"/>
      <c r="AF507" s="44"/>
      <c r="AG507" s="44"/>
      <c r="AH507" s="44"/>
      <c r="AI507" s="44"/>
      <c r="AJ507" s="44"/>
      <c r="AK507" s="44"/>
      <c r="AL507" s="44"/>
    </row>
    <row r="508" spans="1:38" ht="15.75" customHeight="1" x14ac:dyDescent="0.25">
      <c r="A508" s="44"/>
      <c r="B508" s="44"/>
      <c r="C508" s="44"/>
      <c r="D508" s="44"/>
      <c r="E508" s="44"/>
      <c r="F508" s="44"/>
      <c r="G508" s="205"/>
      <c r="H508" s="44"/>
      <c r="I508" s="44"/>
      <c r="J508" s="44"/>
      <c r="K508" s="44"/>
      <c r="L508" s="44"/>
      <c r="M508" s="44"/>
      <c r="N508" s="44"/>
      <c r="O508" s="44"/>
      <c r="P508" s="44"/>
      <c r="Q508" s="44"/>
      <c r="R508" s="44"/>
      <c r="S508" s="44"/>
      <c r="T508" s="44"/>
      <c r="U508" s="44"/>
      <c r="V508" s="44"/>
      <c r="W508" s="44"/>
      <c r="X508" s="44"/>
      <c r="Y508" s="44"/>
      <c r="Z508" s="44"/>
      <c r="AA508" s="44"/>
      <c r="AB508" s="44"/>
      <c r="AC508" s="44"/>
      <c r="AD508" s="44"/>
      <c r="AE508" s="44"/>
      <c r="AF508" s="44"/>
      <c r="AG508" s="44"/>
      <c r="AH508" s="44"/>
      <c r="AI508" s="44"/>
      <c r="AJ508" s="44"/>
      <c r="AK508" s="44"/>
      <c r="AL508" s="44"/>
    </row>
    <row r="509" spans="1:38" ht="15.75" customHeight="1" x14ac:dyDescent="0.25">
      <c r="A509" s="44"/>
      <c r="B509" s="44"/>
      <c r="C509" s="44"/>
      <c r="D509" s="44"/>
      <c r="E509" s="44"/>
      <c r="F509" s="44"/>
      <c r="G509" s="205"/>
      <c r="H509" s="44"/>
      <c r="I509" s="44"/>
      <c r="J509" s="44"/>
      <c r="K509" s="44"/>
      <c r="L509" s="44"/>
      <c r="M509" s="44"/>
      <c r="N509" s="44"/>
      <c r="O509" s="44"/>
      <c r="P509" s="44"/>
      <c r="Q509" s="44"/>
      <c r="R509" s="44"/>
      <c r="S509" s="44"/>
      <c r="T509" s="44"/>
      <c r="U509" s="44"/>
      <c r="V509" s="44"/>
      <c r="W509" s="44"/>
      <c r="X509" s="44"/>
      <c r="Y509" s="44"/>
      <c r="Z509" s="44"/>
      <c r="AA509" s="44"/>
      <c r="AB509" s="44"/>
      <c r="AC509" s="44"/>
      <c r="AD509" s="44"/>
      <c r="AE509" s="44"/>
      <c r="AF509" s="44"/>
      <c r="AG509" s="44"/>
      <c r="AH509" s="44"/>
      <c r="AI509" s="44"/>
      <c r="AJ509" s="44"/>
      <c r="AK509" s="44"/>
      <c r="AL509" s="44"/>
    </row>
    <row r="510" spans="1:38" ht="15.75" customHeight="1" x14ac:dyDescent="0.25">
      <c r="A510" s="44"/>
      <c r="B510" s="44"/>
      <c r="C510" s="44"/>
      <c r="D510" s="44"/>
      <c r="E510" s="44"/>
      <c r="F510" s="44"/>
      <c r="G510" s="205"/>
      <c r="H510" s="44"/>
      <c r="I510" s="44"/>
      <c r="J510" s="44"/>
      <c r="K510" s="44"/>
      <c r="L510" s="44"/>
      <c r="M510" s="44"/>
      <c r="N510" s="44"/>
      <c r="O510" s="44"/>
      <c r="P510" s="44"/>
      <c r="Q510" s="44"/>
      <c r="R510" s="44"/>
      <c r="S510" s="44"/>
      <c r="T510" s="44"/>
      <c r="U510" s="44"/>
      <c r="V510" s="44"/>
      <c r="W510" s="44"/>
      <c r="X510" s="44"/>
      <c r="Y510" s="44"/>
      <c r="Z510" s="44"/>
      <c r="AA510" s="44"/>
      <c r="AB510" s="44"/>
      <c r="AC510" s="44"/>
      <c r="AD510" s="44"/>
      <c r="AE510" s="44"/>
      <c r="AF510" s="44"/>
      <c r="AG510" s="44"/>
      <c r="AH510" s="44"/>
      <c r="AI510" s="44"/>
      <c r="AJ510" s="44"/>
      <c r="AK510" s="44"/>
      <c r="AL510" s="44"/>
    </row>
    <row r="511" spans="1:38" ht="15.75" customHeight="1" x14ac:dyDescent="0.25">
      <c r="A511" s="44"/>
      <c r="B511" s="44"/>
      <c r="C511" s="44"/>
      <c r="D511" s="44"/>
      <c r="E511" s="44"/>
      <c r="F511" s="44"/>
      <c r="G511" s="205"/>
      <c r="H511" s="44"/>
      <c r="I511" s="44"/>
      <c r="J511" s="44"/>
      <c r="K511" s="44"/>
      <c r="L511" s="44"/>
      <c r="M511" s="44"/>
      <c r="N511" s="44"/>
      <c r="O511" s="44"/>
      <c r="P511" s="44"/>
      <c r="Q511" s="44"/>
      <c r="R511" s="44"/>
      <c r="S511" s="44"/>
      <c r="T511" s="44"/>
      <c r="U511" s="44"/>
      <c r="V511" s="44"/>
      <c r="W511" s="44"/>
      <c r="X511" s="44"/>
      <c r="Y511" s="44"/>
      <c r="Z511" s="44"/>
      <c r="AA511" s="44"/>
      <c r="AB511" s="44"/>
      <c r="AC511" s="44"/>
      <c r="AD511" s="44"/>
      <c r="AE511" s="44"/>
      <c r="AF511" s="44"/>
      <c r="AG511" s="44"/>
      <c r="AH511" s="44"/>
      <c r="AI511" s="44"/>
      <c r="AJ511" s="44"/>
      <c r="AK511" s="44"/>
      <c r="AL511" s="44"/>
    </row>
    <row r="512" spans="1:38" ht="15.75" customHeight="1" x14ac:dyDescent="0.25">
      <c r="A512" s="44"/>
      <c r="B512" s="44"/>
      <c r="C512" s="44"/>
      <c r="D512" s="44"/>
      <c r="E512" s="44"/>
      <c r="F512" s="44"/>
      <c r="G512" s="205"/>
      <c r="H512" s="44"/>
      <c r="I512" s="44"/>
      <c r="J512" s="44"/>
      <c r="K512" s="44"/>
      <c r="L512" s="44"/>
      <c r="M512" s="44"/>
      <c r="N512" s="44"/>
      <c r="O512" s="44"/>
      <c r="P512" s="44"/>
      <c r="Q512" s="44"/>
      <c r="R512" s="44"/>
      <c r="S512" s="44"/>
      <c r="T512" s="44"/>
      <c r="U512" s="44"/>
      <c r="V512" s="44"/>
      <c r="W512" s="44"/>
      <c r="X512" s="44"/>
      <c r="Y512" s="44"/>
      <c r="Z512" s="44"/>
      <c r="AA512" s="44"/>
      <c r="AB512" s="44"/>
      <c r="AC512" s="44"/>
      <c r="AD512" s="44"/>
      <c r="AE512" s="44"/>
      <c r="AF512" s="44"/>
      <c r="AG512" s="44"/>
      <c r="AH512" s="44"/>
      <c r="AI512" s="44"/>
      <c r="AJ512" s="44"/>
      <c r="AK512" s="44"/>
      <c r="AL512" s="44"/>
    </row>
    <row r="513" spans="1:38" ht="15.75" customHeight="1" x14ac:dyDescent="0.25">
      <c r="A513" s="44"/>
      <c r="B513" s="44"/>
      <c r="C513" s="44"/>
      <c r="D513" s="44"/>
      <c r="E513" s="44"/>
      <c r="F513" s="44"/>
      <c r="G513" s="205"/>
      <c r="H513" s="44"/>
      <c r="I513" s="44"/>
      <c r="J513" s="44"/>
      <c r="K513" s="44"/>
      <c r="L513" s="44"/>
      <c r="M513" s="44"/>
      <c r="N513" s="44"/>
      <c r="O513" s="44"/>
      <c r="P513" s="44"/>
      <c r="Q513" s="44"/>
      <c r="R513" s="44"/>
      <c r="S513" s="44"/>
      <c r="T513" s="44"/>
      <c r="U513" s="44"/>
      <c r="V513" s="44"/>
      <c r="W513" s="44"/>
      <c r="X513" s="44"/>
      <c r="Y513" s="44"/>
      <c r="Z513" s="44"/>
      <c r="AA513" s="44"/>
      <c r="AB513" s="44"/>
      <c r="AC513" s="44"/>
      <c r="AD513" s="44"/>
      <c r="AE513" s="44"/>
      <c r="AF513" s="44"/>
      <c r="AG513" s="44"/>
      <c r="AH513" s="44"/>
      <c r="AI513" s="44"/>
      <c r="AJ513" s="44"/>
      <c r="AK513" s="44"/>
      <c r="AL513" s="44"/>
    </row>
    <row r="514" spans="1:38" ht="15.75" customHeight="1" x14ac:dyDescent="0.25">
      <c r="A514" s="44"/>
      <c r="B514" s="44"/>
      <c r="C514" s="44"/>
      <c r="D514" s="44"/>
      <c r="E514" s="44"/>
      <c r="F514" s="44"/>
      <c r="G514" s="205"/>
      <c r="H514" s="44"/>
      <c r="I514" s="44"/>
      <c r="J514" s="44"/>
      <c r="K514" s="44"/>
      <c r="L514" s="44"/>
      <c r="M514" s="44"/>
      <c r="N514" s="44"/>
      <c r="O514" s="44"/>
      <c r="P514" s="44"/>
      <c r="Q514" s="44"/>
      <c r="R514" s="44"/>
      <c r="S514" s="44"/>
      <c r="T514" s="44"/>
      <c r="U514" s="44"/>
      <c r="V514" s="44"/>
      <c r="W514" s="44"/>
      <c r="X514" s="44"/>
      <c r="Y514" s="44"/>
      <c r="Z514" s="44"/>
      <c r="AA514" s="44"/>
      <c r="AB514" s="44"/>
      <c r="AC514" s="44"/>
      <c r="AD514" s="44"/>
      <c r="AE514" s="44"/>
      <c r="AF514" s="44"/>
      <c r="AG514" s="44"/>
      <c r="AH514" s="44"/>
      <c r="AI514" s="44"/>
      <c r="AJ514" s="44"/>
      <c r="AK514" s="44"/>
      <c r="AL514" s="44"/>
    </row>
    <row r="515" spans="1:38" ht="15.75" customHeight="1" x14ac:dyDescent="0.25">
      <c r="A515" s="44"/>
      <c r="B515" s="44"/>
      <c r="C515" s="44"/>
      <c r="D515" s="44"/>
      <c r="E515" s="44"/>
      <c r="F515" s="44"/>
      <c r="G515" s="205"/>
      <c r="H515" s="44"/>
      <c r="I515" s="44"/>
      <c r="J515" s="44"/>
      <c r="K515" s="44"/>
      <c r="L515" s="44"/>
      <c r="M515" s="44"/>
      <c r="N515" s="44"/>
      <c r="O515" s="44"/>
      <c r="P515" s="44"/>
      <c r="Q515" s="44"/>
      <c r="R515" s="44"/>
      <c r="S515" s="44"/>
      <c r="T515" s="44"/>
      <c r="U515" s="44"/>
      <c r="V515" s="44"/>
      <c r="W515" s="44"/>
      <c r="X515" s="44"/>
      <c r="Y515" s="44"/>
      <c r="Z515" s="44"/>
      <c r="AA515" s="44"/>
      <c r="AB515" s="44"/>
      <c r="AC515" s="44"/>
      <c r="AD515" s="44"/>
      <c r="AE515" s="44"/>
      <c r="AF515" s="44"/>
      <c r="AG515" s="44"/>
      <c r="AH515" s="44"/>
      <c r="AI515" s="44"/>
      <c r="AJ515" s="44"/>
      <c r="AK515" s="44"/>
      <c r="AL515" s="44"/>
    </row>
    <row r="516" spans="1:38" ht="15.75" customHeight="1" x14ac:dyDescent="0.25">
      <c r="A516" s="44"/>
      <c r="B516" s="44"/>
      <c r="C516" s="44"/>
      <c r="D516" s="44"/>
      <c r="E516" s="44"/>
      <c r="F516" s="44"/>
      <c r="G516" s="205"/>
      <c r="H516" s="44"/>
      <c r="I516" s="44"/>
      <c r="J516" s="44"/>
      <c r="K516" s="44"/>
      <c r="L516" s="44"/>
      <c r="M516" s="44"/>
      <c r="N516" s="44"/>
      <c r="O516" s="44"/>
      <c r="P516" s="44"/>
      <c r="Q516" s="44"/>
      <c r="R516" s="44"/>
      <c r="S516" s="44"/>
      <c r="T516" s="44"/>
      <c r="U516" s="44"/>
      <c r="V516" s="44"/>
      <c r="W516" s="44"/>
      <c r="X516" s="44"/>
      <c r="Y516" s="44"/>
      <c r="Z516" s="44"/>
      <c r="AA516" s="44"/>
      <c r="AB516" s="44"/>
      <c r="AC516" s="44"/>
      <c r="AD516" s="44"/>
      <c r="AE516" s="44"/>
      <c r="AF516" s="44"/>
      <c r="AG516" s="44"/>
      <c r="AH516" s="44"/>
      <c r="AI516" s="44"/>
      <c r="AJ516" s="44"/>
      <c r="AK516" s="44"/>
      <c r="AL516" s="44"/>
    </row>
    <row r="517" spans="1:38" ht="15.75" customHeight="1" x14ac:dyDescent="0.25">
      <c r="A517" s="44"/>
      <c r="B517" s="44"/>
      <c r="C517" s="44"/>
      <c r="D517" s="44"/>
      <c r="E517" s="44"/>
      <c r="F517" s="44"/>
      <c r="G517" s="205"/>
      <c r="H517" s="44"/>
      <c r="I517" s="44"/>
      <c r="J517" s="44"/>
      <c r="K517" s="44"/>
      <c r="L517" s="44"/>
      <c r="M517" s="44"/>
      <c r="N517" s="44"/>
      <c r="O517" s="44"/>
      <c r="P517" s="44"/>
      <c r="Q517" s="44"/>
      <c r="R517" s="44"/>
      <c r="S517" s="44"/>
      <c r="T517" s="44"/>
      <c r="U517" s="44"/>
      <c r="V517" s="44"/>
      <c r="W517" s="44"/>
      <c r="X517" s="44"/>
      <c r="Y517" s="44"/>
      <c r="Z517" s="44"/>
      <c r="AA517" s="44"/>
      <c r="AB517" s="44"/>
      <c r="AC517" s="44"/>
      <c r="AD517" s="44"/>
      <c r="AE517" s="44"/>
      <c r="AF517" s="44"/>
      <c r="AG517" s="44"/>
      <c r="AH517" s="44"/>
      <c r="AI517" s="44"/>
      <c r="AJ517" s="44"/>
      <c r="AK517" s="44"/>
      <c r="AL517" s="44"/>
    </row>
    <row r="518" spans="1:38" ht="15.75" customHeight="1" x14ac:dyDescent="0.25">
      <c r="A518" s="44"/>
      <c r="B518" s="44"/>
      <c r="C518" s="44"/>
      <c r="D518" s="44"/>
      <c r="E518" s="44"/>
      <c r="F518" s="44"/>
      <c r="G518" s="205"/>
      <c r="H518" s="44"/>
      <c r="I518" s="44"/>
      <c r="J518" s="44"/>
      <c r="K518" s="44"/>
      <c r="L518" s="44"/>
      <c r="M518" s="44"/>
      <c r="N518" s="44"/>
      <c r="O518" s="44"/>
      <c r="P518" s="44"/>
      <c r="Q518" s="44"/>
      <c r="R518" s="44"/>
      <c r="S518" s="44"/>
      <c r="T518" s="44"/>
      <c r="U518" s="44"/>
      <c r="V518" s="44"/>
      <c r="W518" s="44"/>
      <c r="X518" s="44"/>
      <c r="Y518" s="44"/>
      <c r="Z518" s="44"/>
      <c r="AA518" s="44"/>
      <c r="AB518" s="44"/>
      <c r="AC518" s="44"/>
      <c r="AD518" s="44"/>
      <c r="AE518" s="44"/>
      <c r="AF518" s="44"/>
      <c r="AG518" s="44"/>
      <c r="AH518" s="44"/>
      <c r="AI518" s="44"/>
      <c r="AJ518" s="44"/>
      <c r="AK518" s="44"/>
      <c r="AL518" s="44"/>
    </row>
    <row r="519" spans="1:38" ht="15.75" customHeight="1" x14ac:dyDescent="0.25">
      <c r="A519" s="44"/>
      <c r="B519" s="44"/>
      <c r="C519" s="44"/>
      <c r="D519" s="44"/>
      <c r="E519" s="44"/>
      <c r="F519" s="44"/>
      <c r="G519" s="205"/>
      <c r="H519" s="44"/>
      <c r="I519" s="44"/>
      <c r="J519" s="44"/>
      <c r="K519" s="44"/>
      <c r="L519" s="44"/>
      <c r="M519" s="44"/>
      <c r="N519" s="44"/>
      <c r="O519" s="44"/>
      <c r="P519" s="44"/>
      <c r="Q519" s="44"/>
      <c r="R519" s="44"/>
      <c r="S519" s="44"/>
      <c r="T519" s="44"/>
      <c r="U519" s="44"/>
      <c r="V519" s="44"/>
      <c r="W519" s="44"/>
      <c r="X519" s="44"/>
      <c r="Y519" s="44"/>
      <c r="Z519" s="44"/>
      <c r="AA519" s="44"/>
      <c r="AB519" s="44"/>
      <c r="AC519" s="44"/>
      <c r="AD519" s="44"/>
      <c r="AE519" s="44"/>
      <c r="AF519" s="44"/>
      <c r="AG519" s="44"/>
      <c r="AH519" s="44"/>
      <c r="AI519" s="44"/>
      <c r="AJ519" s="44"/>
      <c r="AK519" s="44"/>
      <c r="AL519" s="44"/>
    </row>
    <row r="520" spans="1:38" ht="15.75" customHeight="1" x14ac:dyDescent="0.25">
      <c r="A520" s="44"/>
      <c r="B520" s="44"/>
      <c r="C520" s="44"/>
      <c r="D520" s="44"/>
      <c r="E520" s="44"/>
      <c r="F520" s="44"/>
      <c r="G520" s="205"/>
      <c r="H520" s="44"/>
      <c r="I520" s="44"/>
      <c r="J520" s="44"/>
      <c r="K520" s="44"/>
      <c r="L520" s="44"/>
      <c r="M520" s="44"/>
      <c r="N520" s="44"/>
      <c r="O520" s="44"/>
      <c r="P520" s="44"/>
      <c r="Q520" s="44"/>
      <c r="R520" s="44"/>
      <c r="S520" s="44"/>
      <c r="T520" s="44"/>
      <c r="U520" s="44"/>
      <c r="V520" s="44"/>
      <c r="W520" s="44"/>
      <c r="X520" s="44"/>
      <c r="Y520" s="44"/>
      <c r="Z520" s="44"/>
      <c r="AA520" s="44"/>
      <c r="AB520" s="44"/>
      <c r="AC520" s="44"/>
      <c r="AD520" s="44"/>
      <c r="AE520" s="44"/>
      <c r="AF520" s="44"/>
      <c r="AG520" s="44"/>
      <c r="AH520" s="44"/>
      <c r="AI520" s="44"/>
      <c r="AJ520" s="44"/>
      <c r="AK520" s="44"/>
      <c r="AL520" s="44"/>
    </row>
    <row r="521" spans="1:38" ht="15.75" customHeight="1" x14ac:dyDescent="0.25">
      <c r="A521" s="44"/>
      <c r="B521" s="44"/>
      <c r="C521" s="44"/>
      <c r="D521" s="44"/>
      <c r="E521" s="44"/>
      <c r="F521" s="44"/>
      <c r="G521" s="205"/>
      <c r="H521" s="44"/>
      <c r="I521" s="44"/>
      <c r="J521" s="44"/>
      <c r="K521" s="44"/>
      <c r="L521" s="44"/>
      <c r="M521" s="44"/>
      <c r="N521" s="44"/>
      <c r="O521" s="44"/>
      <c r="P521" s="44"/>
      <c r="Q521" s="44"/>
      <c r="R521" s="44"/>
      <c r="S521" s="44"/>
      <c r="T521" s="44"/>
      <c r="U521" s="44"/>
      <c r="V521" s="44"/>
      <c r="W521" s="44"/>
      <c r="X521" s="44"/>
      <c r="Y521" s="44"/>
      <c r="Z521" s="44"/>
      <c r="AA521" s="44"/>
      <c r="AB521" s="44"/>
      <c r="AC521" s="44"/>
      <c r="AD521" s="44"/>
      <c r="AE521" s="44"/>
      <c r="AF521" s="44"/>
      <c r="AG521" s="44"/>
      <c r="AH521" s="44"/>
      <c r="AI521" s="44"/>
      <c r="AJ521" s="44"/>
      <c r="AK521" s="44"/>
      <c r="AL521" s="44"/>
    </row>
    <row r="522" spans="1:38" ht="15.75" customHeight="1" x14ac:dyDescent="0.25">
      <c r="A522" s="44"/>
      <c r="B522" s="44"/>
      <c r="C522" s="44"/>
      <c r="D522" s="44"/>
      <c r="E522" s="44"/>
      <c r="F522" s="44"/>
      <c r="G522" s="205"/>
      <c r="H522" s="44"/>
      <c r="I522" s="44"/>
      <c r="J522" s="44"/>
      <c r="K522" s="44"/>
      <c r="L522" s="44"/>
      <c r="M522" s="44"/>
      <c r="N522" s="44"/>
      <c r="O522" s="44"/>
      <c r="P522" s="44"/>
      <c r="Q522" s="44"/>
      <c r="R522" s="44"/>
      <c r="S522" s="44"/>
      <c r="T522" s="44"/>
      <c r="U522" s="44"/>
      <c r="V522" s="44"/>
      <c r="W522" s="44"/>
      <c r="X522" s="44"/>
      <c r="Y522" s="44"/>
      <c r="Z522" s="44"/>
      <c r="AA522" s="44"/>
      <c r="AB522" s="44"/>
      <c r="AC522" s="44"/>
      <c r="AD522" s="44"/>
      <c r="AE522" s="44"/>
      <c r="AF522" s="44"/>
      <c r="AG522" s="44"/>
      <c r="AH522" s="44"/>
      <c r="AI522" s="44"/>
      <c r="AJ522" s="44"/>
      <c r="AK522" s="44"/>
      <c r="AL522" s="44"/>
    </row>
    <row r="523" spans="1:38" ht="15.75" customHeight="1" x14ac:dyDescent="0.25">
      <c r="A523" s="44"/>
      <c r="B523" s="44"/>
      <c r="C523" s="44"/>
      <c r="D523" s="44"/>
      <c r="E523" s="44"/>
      <c r="F523" s="44"/>
      <c r="G523" s="205"/>
      <c r="H523" s="44"/>
      <c r="I523" s="44"/>
      <c r="J523" s="44"/>
      <c r="K523" s="44"/>
      <c r="L523" s="44"/>
      <c r="M523" s="44"/>
      <c r="N523" s="44"/>
      <c r="O523" s="44"/>
      <c r="P523" s="44"/>
      <c r="Q523" s="44"/>
      <c r="R523" s="44"/>
      <c r="S523" s="44"/>
      <c r="T523" s="44"/>
      <c r="U523" s="44"/>
      <c r="V523" s="44"/>
      <c r="W523" s="44"/>
      <c r="X523" s="44"/>
      <c r="Y523" s="44"/>
      <c r="Z523" s="44"/>
      <c r="AA523" s="44"/>
      <c r="AB523" s="44"/>
      <c r="AC523" s="44"/>
      <c r="AD523" s="44"/>
      <c r="AE523" s="44"/>
      <c r="AF523" s="44"/>
      <c r="AG523" s="44"/>
      <c r="AH523" s="44"/>
      <c r="AI523" s="44"/>
      <c r="AJ523" s="44"/>
      <c r="AK523" s="44"/>
      <c r="AL523" s="44"/>
    </row>
    <row r="524" spans="1:38" ht="15.75" customHeight="1" x14ac:dyDescent="0.25">
      <c r="A524" s="44"/>
      <c r="B524" s="44"/>
      <c r="C524" s="44"/>
      <c r="D524" s="44"/>
      <c r="E524" s="44"/>
      <c r="F524" s="44"/>
      <c r="G524" s="205"/>
      <c r="H524" s="44"/>
      <c r="I524" s="44"/>
      <c r="J524" s="44"/>
      <c r="K524" s="44"/>
      <c r="L524" s="44"/>
      <c r="M524" s="44"/>
      <c r="N524" s="44"/>
      <c r="O524" s="44"/>
      <c r="P524" s="44"/>
      <c r="Q524" s="44"/>
      <c r="R524" s="44"/>
      <c r="S524" s="44"/>
      <c r="T524" s="44"/>
      <c r="U524" s="44"/>
      <c r="V524" s="44"/>
      <c r="W524" s="44"/>
      <c r="X524" s="44"/>
      <c r="Y524" s="44"/>
      <c r="Z524" s="44"/>
      <c r="AA524" s="44"/>
      <c r="AB524" s="44"/>
      <c r="AC524" s="44"/>
      <c r="AD524" s="44"/>
      <c r="AE524" s="44"/>
      <c r="AF524" s="44"/>
      <c r="AG524" s="44"/>
      <c r="AH524" s="44"/>
      <c r="AI524" s="44"/>
      <c r="AJ524" s="44"/>
      <c r="AK524" s="44"/>
      <c r="AL524" s="44"/>
    </row>
    <row r="525" spans="1:38" ht="15.75" customHeight="1" x14ac:dyDescent="0.25">
      <c r="A525" s="44"/>
      <c r="B525" s="44"/>
      <c r="C525" s="44"/>
      <c r="D525" s="44"/>
      <c r="E525" s="44"/>
      <c r="F525" s="44"/>
      <c r="G525" s="205"/>
      <c r="H525" s="44"/>
      <c r="I525" s="44"/>
      <c r="J525" s="44"/>
      <c r="K525" s="44"/>
      <c r="L525" s="44"/>
      <c r="M525" s="44"/>
      <c r="N525" s="44"/>
      <c r="O525" s="44"/>
      <c r="P525" s="44"/>
      <c r="Q525" s="44"/>
      <c r="R525" s="44"/>
      <c r="S525" s="44"/>
      <c r="T525" s="44"/>
      <c r="U525" s="44"/>
      <c r="V525" s="44"/>
      <c r="W525" s="44"/>
      <c r="X525" s="44"/>
      <c r="Y525" s="44"/>
      <c r="Z525" s="44"/>
      <c r="AA525" s="44"/>
      <c r="AB525" s="44"/>
      <c r="AC525" s="44"/>
      <c r="AD525" s="44"/>
      <c r="AE525" s="44"/>
      <c r="AF525" s="44"/>
      <c r="AG525" s="44"/>
      <c r="AH525" s="44"/>
      <c r="AI525" s="44"/>
      <c r="AJ525" s="44"/>
      <c r="AK525" s="44"/>
      <c r="AL525" s="44"/>
    </row>
    <row r="526" spans="1:38" ht="15.75" customHeight="1" x14ac:dyDescent="0.25">
      <c r="A526" s="44"/>
      <c r="B526" s="44"/>
      <c r="C526" s="44"/>
      <c r="D526" s="44"/>
      <c r="E526" s="44"/>
      <c r="F526" s="44"/>
      <c r="G526" s="205"/>
      <c r="H526" s="44"/>
      <c r="I526" s="44"/>
      <c r="J526" s="44"/>
      <c r="K526" s="44"/>
      <c r="L526" s="44"/>
      <c r="M526" s="44"/>
      <c r="N526" s="44"/>
      <c r="O526" s="44"/>
      <c r="P526" s="44"/>
      <c r="Q526" s="44"/>
      <c r="R526" s="44"/>
      <c r="S526" s="44"/>
      <c r="T526" s="44"/>
      <c r="U526" s="44"/>
      <c r="V526" s="44"/>
      <c r="W526" s="44"/>
      <c r="X526" s="44"/>
      <c r="Y526" s="44"/>
      <c r="Z526" s="44"/>
      <c r="AA526" s="44"/>
      <c r="AB526" s="44"/>
      <c r="AC526" s="44"/>
      <c r="AD526" s="44"/>
      <c r="AE526" s="44"/>
      <c r="AF526" s="44"/>
      <c r="AG526" s="44"/>
      <c r="AH526" s="44"/>
      <c r="AI526" s="44"/>
      <c r="AJ526" s="44"/>
      <c r="AK526" s="44"/>
      <c r="AL526" s="44"/>
    </row>
    <row r="527" spans="1:38" ht="15.75" customHeight="1" x14ac:dyDescent="0.25">
      <c r="A527" s="44"/>
      <c r="B527" s="44"/>
      <c r="C527" s="44"/>
      <c r="D527" s="44"/>
      <c r="E527" s="44"/>
      <c r="F527" s="44"/>
      <c r="G527" s="205"/>
      <c r="H527" s="44"/>
      <c r="I527" s="44"/>
      <c r="J527" s="44"/>
      <c r="K527" s="44"/>
      <c r="L527" s="44"/>
      <c r="M527" s="44"/>
      <c r="N527" s="44"/>
      <c r="O527" s="44"/>
      <c r="P527" s="44"/>
      <c r="Q527" s="44"/>
      <c r="R527" s="44"/>
      <c r="S527" s="44"/>
      <c r="T527" s="44"/>
      <c r="U527" s="44"/>
      <c r="V527" s="44"/>
      <c r="W527" s="44"/>
      <c r="X527" s="44"/>
      <c r="Y527" s="44"/>
      <c r="Z527" s="44"/>
      <c r="AA527" s="44"/>
      <c r="AB527" s="44"/>
      <c r="AC527" s="44"/>
      <c r="AD527" s="44"/>
      <c r="AE527" s="44"/>
      <c r="AF527" s="44"/>
      <c r="AG527" s="44"/>
      <c r="AH527" s="44"/>
      <c r="AI527" s="44"/>
      <c r="AJ527" s="44"/>
      <c r="AK527" s="44"/>
      <c r="AL527" s="44"/>
    </row>
    <row r="528" spans="1:38" ht="15.75" customHeight="1" x14ac:dyDescent="0.25">
      <c r="A528" s="44"/>
      <c r="B528" s="44"/>
      <c r="C528" s="44"/>
      <c r="D528" s="44"/>
      <c r="E528" s="44"/>
      <c r="F528" s="44"/>
      <c r="G528" s="205"/>
      <c r="H528" s="44"/>
      <c r="I528" s="44"/>
      <c r="J528" s="44"/>
      <c r="K528" s="44"/>
      <c r="L528" s="44"/>
      <c r="M528" s="44"/>
      <c r="N528" s="44"/>
      <c r="O528" s="44"/>
      <c r="P528" s="44"/>
      <c r="Q528" s="44"/>
      <c r="R528" s="44"/>
      <c r="S528" s="44"/>
      <c r="T528" s="44"/>
      <c r="U528" s="44"/>
      <c r="V528" s="44"/>
      <c r="W528" s="44"/>
      <c r="X528" s="44"/>
      <c r="Y528" s="44"/>
      <c r="Z528" s="44"/>
      <c r="AA528" s="44"/>
      <c r="AB528" s="44"/>
      <c r="AC528" s="44"/>
      <c r="AD528" s="44"/>
      <c r="AE528" s="44"/>
      <c r="AF528" s="44"/>
      <c r="AG528" s="44"/>
      <c r="AH528" s="44"/>
      <c r="AI528" s="44"/>
      <c r="AJ528" s="44"/>
      <c r="AK528" s="44"/>
      <c r="AL528" s="44"/>
    </row>
    <row r="529" spans="1:38" ht="15.75" customHeight="1" x14ac:dyDescent="0.25">
      <c r="A529" s="44"/>
      <c r="R529" s="44"/>
      <c r="S529" s="44"/>
      <c r="T529" s="44"/>
      <c r="U529" s="44"/>
      <c r="V529" s="44"/>
      <c r="W529" s="44"/>
      <c r="X529" s="44"/>
      <c r="Y529" s="44"/>
      <c r="Z529" s="44"/>
      <c r="AA529" s="44"/>
      <c r="AB529" s="44"/>
      <c r="AC529" s="44"/>
      <c r="AD529" s="44"/>
      <c r="AE529" s="44"/>
      <c r="AF529" s="44"/>
      <c r="AG529" s="44"/>
      <c r="AH529" s="44"/>
      <c r="AI529" s="44"/>
      <c r="AJ529" s="44"/>
      <c r="AK529" s="44"/>
      <c r="AL529" s="44"/>
    </row>
    <row r="530" spans="1:38" ht="15.75" customHeight="1" x14ac:dyDescent="0.25">
      <c r="A530" s="44"/>
      <c r="R530" s="44"/>
      <c r="S530" s="44"/>
      <c r="T530" s="44"/>
      <c r="U530" s="44"/>
      <c r="V530" s="44"/>
      <c r="W530" s="44"/>
      <c r="X530" s="44"/>
      <c r="Y530" s="44"/>
      <c r="Z530" s="44"/>
      <c r="AA530" s="44"/>
      <c r="AB530" s="44"/>
      <c r="AC530" s="44"/>
      <c r="AD530" s="44"/>
      <c r="AE530" s="44"/>
      <c r="AF530" s="44"/>
      <c r="AG530" s="44"/>
      <c r="AH530" s="44"/>
      <c r="AI530" s="44"/>
      <c r="AJ530" s="44"/>
      <c r="AK530" s="44"/>
      <c r="AL530" s="44"/>
    </row>
    <row r="531" spans="1:38" ht="15.75" customHeight="1" x14ac:dyDescent="0.25">
      <c r="A531" s="44"/>
      <c r="R531" s="44"/>
      <c r="S531" s="44"/>
      <c r="T531" s="44"/>
      <c r="U531" s="44"/>
      <c r="V531" s="44"/>
      <c r="W531" s="44"/>
      <c r="X531" s="44"/>
      <c r="Y531" s="44"/>
      <c r="Z531" s="44"/>
      <c r="AA531" s="44"/>
      <c r="AB531" s="44"/>
      <c r="AC531" s="44"/>
      <c r="AD531" s="44"/>
      <c r="AE531" s="44"/>
      <c r="AF531" s="44"/>
      <c r="AG531" s="44"/>
      <c r="AH531" s="44"/>
      <c r="AI531" s="44"/>
      <c r="AJ531" s="44"/>
      <c r="AK531" s="44"/>
      <c r="AL531" s="44"/>
    </row>
    <row r="532" spans="1:38" ht="15.75" customHeight="1" x14ac:dyDescent="0.25">
      <c r="A532" s="44"/>
      <c r="R532" s="44"/>
      <c r="S532" s="44"/>
      <c r="T532" s="44"/>
      <c r="U532" s="44"/>
      <c r="V532" s="44"/>
      <c r="W532" s="44"/>
      <c r="X532" s="44"/>
      <c r="Y532" s="44"/>
      <c r="Z532" s="44"/>
      <c r="AA532" s="44"/>
      <c r="AB532" s="44"/>
      <c r="AC532" s="44"/>
      <c r="AD532" s="44"/>
      <c r="AE532" s="44"/>
      <c r="AF532" s="44"/>
      <c r="AG532" s="44"/>
      <c r="AH532" s="44"/>
      <c r="AI532" s="44"/>
      <c r="AJ532" s="44"/>
      <c r="AK532" s="44"/>
      <c r="AL532" s="44"/>
    </row>
    <row r="533" spans="1:38" ht="15.75" customHeight="1" x14ac:dyDescent="0.25">
      <c r="A533" s="44"/>
      <c r="R533" s="44"/>
      <c r="S533" s="44"/>
      <c r="T533" s="44"/>
      <c r="U533" s="44"/>
      <c r="V533" s="44"/>
      <c r="W533" s="44"/>
      <c r="X533" s="44"/>
      <c r="Y533" s="44"/>
      <c r="Z533" s="44"/>
      <c r="AA533" s="44"/>
      <c r="AB533" s="44"/>
      <c r="AC533" s="44"/>
      <c r="AD533" s="44"/>
      <c r="AE533" s="44"/>
      <c r="AF533" s="44"/>
      <c r="AG533" s="44"/>
      <c r="AH533" s="44"/>
      <c r="AI533" s="44"/>
      <c r="AJ533" s="44"/>
      <c r="AK533" s="44"/>
      <c r="AL533" s="44"/>
    </row>
    <row r="534" spans="1:38" ht="15.75" customHeight="1" x14ac:dyDescent="0.25">
      <c r="A534" s="44"/>
      <c r="R534" s="44"/>
      <c r="S534" s="44"/>
      <c r="T534" s="44"/>
      <c r="U534" s="44"/>
      <c r="V534" s="44"/>
      <c r="W534" s="44"/>
      <c r="X534" s="44"/>
      <c r="Y534" s="44"/>
      <c r="Z534" s="44"/>
      <c r="AA534" s="44"/>
      <c r="AB534" s="44"/>
      <c r="AC534" s="44"/>
      <c r="AD534" s="44"/>
      <c r="AE534" s="44"/>
      <c r="AF534" s="44"/>
      <c r="AG534" s="44"/>
      <c r="AH534" s="44"/>
      <c r="AI534" s="44"/>
      <c r="AJ534" s="44"/>
      <c r="AK534" s="44"/>
      <c r="AL534" s="44"/>
    </row>
    <row r="535" spans="1:38" ht="15.75" customHeight="1" x14ac:dyDescent="0.25">
      <c r="A535" s="44"/>
      <c r="R535" s="44"/>
      <c r="S535" s="44"/>
      <c r="T535" s="44"/>
      <c r="U535" s="44"/>
      <c r="V535" s="44"/>
      <c r="W535" s="44"/>
      <c r="X535" s="44"/>
      <c r="Y535" s="44"/>
      <c r="Z535" s="44"/>
      <c r="AA535" s="44"/>
      <c r="AB535" s="44"/>
      <c r="AC535" s="44"/>
      <c r="AD535" s="44"/>
      <c r="AE535" s="44"/>
      <c r="AF535" s="44"/>
      <c r="AG535" s="44"/>
      <c r="AH535" s="44"/>
      <c r="AI535" s="44"/>
      <c r="AJ535" s="44"/>
      <c r="AK535" s="44"/>
      <c r="AL535" s="44"/>
    </row>
  </sheetData>
  <mergeCells count="30">
    <mergeCell ref="B488:D488"/>
    <mergeCell ref="M488:N488"/>
    <mergeCell ref="O488:Q488"/>
    <mergeCell ref="B486:D486"/>
    <mergeCell ref="M486:N486"/>
    <mergeCell ref="O486:Q486"/>
    <mergeCell ref="B487:D487"/>
    <mergeCell ref="M487:N487"/>
    <mergeCell ref="O487:Q487"/>
    <mergeCell ref="M483:N483"/>
    <mergeCell ref="O483:Q483"/>
    <mergeCell ref="B485:D485"/>
    <mergeCell ref="M485:N485"/>
    <mergeCell ref="O485:Q485"/>
    <mergeCell ref="B484:D484"/>
    <mergeCell ref="M484:N484"/>
    <mergeCell ref="O484:Q484"/>
    <mergeCell ref="B2:Q6"/>
    <mergeCell ref="B15:B16"/>
    <mergeCell ref="C15:C16"/>
    <mergeCell ref="D15:D16"/>
    <mergeCell ref="E15:E16"/>
    <mergeCell ref="F15:F16"/>
    <mergeCell ref="G15:G16"/>
    <mergeCell ref="H15:H16"/>
    <mergeCell ref="I15:I16"/>
    <mergeCell ref="J15:M15"/>
    <mergeCell ref="N15:P15"/>
    <mergeCell ref="Q15:Q16"/>
    <mergeCell ref="B483:D483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41" fitToHeight="0" orientation="landscape" r:id="rId1"/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65C048-3D15-48C3-9D1C-4C75467781FD}">
  <sheetPr>
    <tabColor rgb="FFBFBFBF"/>
    <outlinePr summaryBelow="0"/>
  </sheetPr>
  <dimension ref="A1:AL535"/>
  <sheetViews>
    <sheetView topLeftCell="A15" zoomScale="70" zoomScaleNormal="70" workbookViewId="0">
      <pane ySplit="600" topLeftCell="A12" activePane="bottomLeft"/>
      <selection activeCell="Q21" sqref="Q21:Q22"/>
      <selection pane="bottomLeft" activeCell="E23" sqref="E23"/>
    </sheetView>
  </sheetViews>
  <sheetFormatPr defaultColWidth="12.59765625" defaultRowHeight="15" customHeight="1" x14ac:dyDescent="0.25"/>
  <cols>
    <col min="1" max="1" width="7.296875" style="212" customWidth="1"/>
    <col min="2" max="2" width="10.59765625" style="212" customWidth="1"/>
    <col min="3" max="3" width="15.296875" style="212" hidden="1" customWidth="1"/>
    <col min="4" max="4" width="15" style="212" hidden="1" customWidth="1"/>
    <col min="5" max="5" width="99.5" style="212" customWidth="1"/>
    <col min="6" max="6" width="8.5" style="212" customWidth="1"/>
    <col min="7" max="7" width="11.3984375" style="213" customWidth="1"/>
    <col min="8" max="8" width="17.3984375" style="212" customWidth="1"/>
    <col min="9" max="9" width="17.3984375" style="212" hidden="1" customWidth="1"/>
    <col min="10" max="10" width="14.69921875" style="212" customWidth="1"/>
    <col min="11" max="11" width="14.69921875" style="212" hidden="1" customWidth="1"/>
    <col min="12" max="15" width="14.69921875" style="212" customWidth="1"/>
    <col min="16" max="16" width="16.19921875" style="212" customWidth="1"/>
    <col min="17" max="17" width="14.5" style="212" customWidth="1"/>
    <col min="18" max="18" width="16" style="212" customWidth="1"/>
    <col min="19" max="19" width="14.59765625" style="212" customWidth="1"/>
    <col min="20" max="21" width="15.09765625" style="212" customWidth="1"/>
    <col min="22" max="22" width="7.59765625" style="212" customWidth="1"/>
    <col min="23" max="23" width="17.8984375" style="212" customWidth="1"/>
    <col min="24" max="36" width="7.59765625" style="212" customWidth="1"/>
    <col min="37" max="16384" width="12.59765625" style="212"/>
  </cols>
  <sheetData>
    <row r="1" spans="1:38" ht="18.75" customHeight="1" x14ac:dyDescent="0.25">
      <c r="A1" s="94"/>
      <c r="B1" s="95"/>
      <c r="C1" s="96"/>
      <c r="D1" s="97"/>
      <c r="E1" s="97"/>
      <c r="F1" s="98"/>
      <c r="G1" s="203"/>
      <c r="H1" s="98"/>
      <c r="I1" s="98"/>
      <c r="J1" s="100"/>
      <c r="K1" s="100"/>
      <c r="L1" s="100"/>
      <c r="M1" s="100"/>
      <c r="N1" s="48"/>
      <c r="O1" s="99"/>
      <c r="P1" s="4"/>
      <c r="Q1" s="4"/>
      <c r="R1" s="4"/>
      <c r="S1" s="4"/>
      <c r="T1" s="101"/>
      <c r="U1" s="48"/>
      <c r="V1" s="48"/>
      <c r="W1" s="48"/>
      <c r="X1" s="48"/>
      <c r="Y1" s="48"/>
      <c r="Z1" s="48"/>
      <c r="AA1" s="48"/>
      <c r="AB1" s="48"/>
      <c r="AC1" s="48"/>
      <c r="AD1" s="48"/>
      <c r="AE1" s="48"/>
      <c r="AF1" s="48"/>
      <c r="AG1" s="48"/>
      <c r="AH1" s="48"/>
      <c r="AI1" s="48"/>
      <c r="AJ1" s="48"/>
      <c r="AK1" s="44"/>
      <c r="AL1" s="44"/>
    </row>
    <row r="2" spans="1:38" ht="18.75" customHeight="1" x14ac:dyDescent="0.25">
      <c r="A2" s="94"/>
      <c r="B2" s="360" t="s">
        <v>26</v>
      </c>
      <c r="C2" s="361"/>
      <c r="D2" s="361"/>
      <c r="E2" s="361"/>
      <c r="F2" s="361"/>
      <c r="G2" s="361"/>
      <c r="H2" s="361"/>
      <c r="I2" s="362"/>
      <c r="J2" s="361"/>
      <c r="K2" s="362"/>
      <c r="L2" s="361"/>
      <c r="M2" s="361"/>
      <c r="N2" s="361"/>
      <c r="O2" s="361"/>
      <c r="P2" s="361"/>
      <c r="Q2" s="363"/>
      <c r="R2" s="99"/>
      <c r="S2" s="4"/>
      <c r="T2" s="4"/>
      <c r="U2" s="4"/>
      <c r="V2" s="4"/>
      <c r="W2" s="101"/>
      <c r="X2" s="48"/>
      <c r="Y2" s="48"/>
      <c r="Z2" s="48"/>
      <c r="AA2" s="48"/>
      <c r="AB2" s="48"/>
      <c r="AC2" s="48"/>
      <c r="AD2" s="48"/>
      <c r="AE2" s="48"/>
      <c r="AF2" s="48"/>
      <c r="AG2" s="48"/>
      <c r="AH2" s="48"/>
      <c r="AI2" s="48"/>
      <c r="AJ2" s="48"/>
      <c r="AK2" s="48"/>
      <c r="AL2" s="48"/>
    </row>
    <row r="3" spans="1:38" ht="18.75" customHeight="1" x14ac:dyDescent="0.25">
      <c r="A3" s="94"/>
      <c r="B3" s="364"/>
      <c r="C3" s="365"/>
      <c r="D3" s="365"/>
      <c r="E3" s="365"/>
      <c r="F3" s="365"/>
      <c r="G3" s="365"/>
      <c r="H3" s="365"/>
      <c r="I3" s="365"/>
      <c r="J3" s="365"/>
      <c r="K3" s="365"/>
      <c r="L3" s="365"/>
      <c r="M3" s="365"/>
      <c r="N3" s="365"/>
      <c r="O3" s="365"/>
      <c r="P3" s="365"/>
      <c r="Q3" s="366"/>
      <c r="R3" s="99"/>
      <c r="S3" s="4"/>
      <c r="T3" s="4"/>
      <c r="U3" s="4"/>
      <c r="V3" s="4"/>
      <c r="W3" s="101"/>
      <c r="X3" s="48"/>
      <c r="Y3" s="48"/>
      <c r="Z3" s="48"/>
      <c r="AA3" s="48"/>
      <c r="AB3" s="48"/>
      <c r="AC3" s="48"/>
      <c r="AD3" s="48"/>
      <c r="AE3" s="48"/>
      <c r="AF3" s="48"/>
      <c r="AG3" s="48"/>
      <c r="AH3" s="48"/>
      <c r="AI3" s="48"/>
      <c r="AJ3" s="48"/>
      <c r="AK3" s="48"/>
      <c r="AL3" s="48"/>
    </row>
    <row r="4" spans="1:38" ht="18.75" customHeight="1" x14ac:dyDescent="0.25">
      <c r="A4" s="94"/>
      <c r="B4" s="364"/>
      <c r="C4" s="365"/>
      <c r="D4" s="365"/>
      <c r="E4" s="365"/>
      <c r="F4" s="365"/>
      <c r="G4" s="365"/>
      <c r="H4" s="365"/>
      <c r="I4" s="365"/>
      <c r="J4" s="365"/>
      <c r="K4" s="365"/>
      <c r="L4" s="365"/>
      <c r="M4" s="365"/>
      <c r="N4" s="365"/>
      <c r="O4" s="365"/>
      <c r="P4" s="365"/>
      <c r="Q4" s="366"/>
      <c r="R4" s="99"/>
      <c r="S4" s="4"/>
      <c r="T4" s="4"/>
      <c r="U4" s="4"/>
      <c r="V4" s="4"/>
      <c r="W4" s="101"/>
      <c r="X4" s="48"/>
      <c r="Y4" s="48"/>
      <c r="Z4" s="48"/>
      <c r="AA4" s="48"/>
      <c r="AB4" s="48"/>
      <c r="AC4" s="48"/>
      <c r="AD4" s="48"/>
      <c r="AE4" s="48"/>
      <c r="AF4" s="48"/>
      <c r="AG4" s="48"/>
      <c r="AH4" s="48"/>
      <c r="AI4" s="48"/>
      <c r="AJ4" s="48"/>
      <c r="AK4" s="48"/>
      <c r="AL4" s="48"/>
    </row>
    <row r="5" spans="1:38" ht="18.75" customHeight="1" x14ac:dyDescent="0.25">
      <c r="A5" s="94"/>
      <c r="B5" s="364"/>
      <c r="C5" s="365"/>
      <c r="D5" s="365"/>
      <c r="E5" s="365"/>
      <c r="F5" s="365"/>
      <c r="G5" s="365"/>
      <c r="H5" s="365"/>
      <c r="I5" s="365"/>
      <c r="J5" s="365"/>
      <c r="K5" s="365"/>
      <c r="L5" s="365"/>
      <c r="M5" s="365"/>
      <c r="N5" s="365"/>
      <c r="O5" s="365"/>
      <c r="P5" s="365"/>
      <c r="Q5" s="366"/>
      <c r="R5" s="99"/>
      <c r="S5" s="4"/>
      <c r="T5" s="4"/>
      <c r="U5" s="4"/>
      <c r="V5" s="4"/>
      <c r="W5" s="101"/>
      <c r="X5" s="48"/>
      <c r="Y5" s="48"/>
      <c r="Z5" s="48"/>
      <c r="AA5" s="48"/>
      <c r="AB5" s="48"/>
      <c r="AC5" s="48"/>
      <c r="AD5" s="48"/>
      <c r="AE5" s="48"/>
      <c r="AF5" s="48"/>
      <c r="AG5" s="48"/>
      <c r="AH5" s="48"/>
      <c r="AI5" s="48"/>
      <c r="AJ5" s="48"/>
      <c r="AK5" s="48"/>
      <c r="AL5" s="48"/>
    </row>
    <row r="6" spans="1:38" ht="18.75" customHeight="1" x14ac:dyDescent="0.25">
      <c r="A6" s="94"/>
      <c r="B6" s="367"/>
      <c r="C6" s="368"/>
      <c r="D6" s="368"/>
      <c r="E6" s="368"/>
      <c r="F6" s="368"/>
      <c r="G6" s="368"/>
      <c r="H6" s="368"/>
      <c r="I6" s="369"/>
      <c r="J6" s="368"/>
      <c r="K6" s="369"/>
      <c r="L6" s="368"/>
      <c r="M6" s="368"/>
      <c r="N6" s="368"/>
      <c r="O6" s="368"/>
      <c r="P6" s="368"/>
      <c r="Q6" s="370"/>
      <c r="R6" s="99"/>
      <c r="S6" s="4"/>
      <c r="T6" s="4"/>
      <c r="U6" s="4"/>
      <c r="V6" s="4"/>
      <c r="W6" s="101"/>
      <c r="X6" s="48"/>
      <c r="Y6" s="48"/>
      <c r="Z6" s="48"/>
      <c r="AA6" s="48"/>
      <c r="AB6" s="48"/>
      <c r="AC6" s="48"/>
      <c r="AD6" s="48"/>
      <c r="AE6" s="48"/>
      <c r="AF6" s="48"/>
      <c r="AG6" s="48"/>
      <c r="AH6" s="48"/>
      <c r="AI6" s="48"/>
      <c r="AJ6" s="48"/>
      <c r="AK6" s="48"/>
      <c r="AL6" s="48"/>
    </row>
    <row r="7" spans="1:38" ht="15" customHeight="1" x14ac:dyDescent="0.25">
      <c r="A7" s="94"/>
      <c r="B7" s="95"/>
      <c r="C7" s="96"/>
      <c r="D7" s="4"/>
      <c r="E7" s="97"/>
      <c r="F7" s="4"/>
      <c r="G7" s="203"/>
      <c r="H7" s="4"/>
      <c r="I7" s="4"/>
      <c r="J7" s="4"/>
      <c r="K7" s="4"/>
      <c r="L7" s="99"/>
      <c r="M7" s="98"/>
      <c r="N7" s="48"/>
      <c r="O7" s="48"/>
      <c r="P7" s="48"/>
      <c r="Q7" s="48"/>
      <c r="R7" s="99"/>
      <c r="S7" s="4"/>
      <c r="T7" s="4"/>
      <c r="U7" s="4"/>
      <c r="V7" s="4"/>
      <c r="W7" s="101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  <c r="AK7" s="48"/>
      <c r="AL7" s="48"/>
    </row>
    <row r="8" spans="1:38" ht="15" customHeight="1" x14ac:dyDescent="0.25">
      <c r="A8" s="94"/>
      <c r="B8" s="102" t="str">
        <f>'DADOS GERAIS'!$B$8</f>
        <v>Secretaria de Atenção Especializada à Saúde</v>
      </c>
      <c r="C8" s="103"/>
      <c r="D8" s="6"/>
      <c r="E8" s="104"/>
      <c r="F8" s="6"/>
      <c r="G8" s="204"/>
      <c r="H8" s="6"/>
      <c r="I8" s="201"/>
      <c r="J8" s="6"/>
      <c r="K8" s="201"/>
      <c r="L8" s="105"/>
      <c r="M8" s="6" t="str">
        <f>RESUMO!D8</f>
        <v>BDI Geral:</v>
      </c>
      <c r="N8" s="106"/>
      <c r="O8" s="6" t="str">
        <f>RESUMO!E8</f>
        <v>Encargo Social Mensalista:</v>
      </c>
      <c r="P8" s="106"/>
      <c r="Q8" s="53" t="str">
        <f>'DADOS GERAIS'!$B$22</f>
        <v>Data:</v>
      </c>
      <c r="R8" s="99"/>
      <c r="S8" s="4"/>
      <c r="T8" s="4"/>
      <c r="U8" s="4"/>
      <c r="V8" s="4"/>
      <c r="W8" s="101"/>
      <c r="X8" s="48"/>
      <c r="Y8" s="48"/>
      <c r="Z8" s="48"/>
      <c r="AA8" s="48"/>
      <c r="AB8" s="48"/>
      <c r="AC8" s="48"/>
      <c r="AD8" s="48"/>
      <c r="AE8" s="48"/>
      <c r="AF8" s="48"/>
      <c r="AG8" s="48"/>
      <c r="AH8" s="48"/>
      <c r="AI8" s="48"/>
      <c r="AJ8" s="48"/>
      <c r="AK8" s="48"/>
      <c r="AL8" s="48"/>
    </row>
    <row r="9" spans="1:38" ht="15" customHeight="1" x14ac:dyDescent="0.25">
      <c r="A9" s="94"/>
      <c r="B9" s="54" t="str">
        <f>'DADOS GERAIS'!$B$9</f>
        <v>Unidade Básica de Saúde Porte 2 - Área Construída: 500,17m²</v>
      </c>
      <c r="C9" s="107"/>
      <c r="D9" s="9"/>
      <c r="E9" s="108"/>
      <c r="F9" s="44"/>
      <c r="G9" s="205"/>
      <c r="H9" s="44"/>
      <c r="I9" s="44"/>
      <c r="J9" s="44"/>
      <c r="K9" s="44"/>
      <c r="L9" s="45"/>
      <c r="M9" s="109">
        <f>RESUMO!D9</f>
        <v>0.26869999999999999</v>
      </c>
      <c r="N9" s="108"/>
      <c r="O9" s="109">
        <f>RESUMO!E9</f>
        <v>0.47739999999999999</v>
      </c>
      <c r="P9" s="108"/>
      <c r="Q9" s="57" t="str">
        <f>'DADOS GERAIS'!$C$22</f>
        <v>02/2025</v>
      </c>
      <c r="R9" s="99"/>
      <c r="S9" s="4"/>
      <c r="T9" s="4"/>
      <c r="U9" s="4"/>
      <c r="V9" s="4"/>
      <c r="W9" s="101"/>
      <c r="X9" s="48"/>
      <c r="Y9" s="48"/>
      <c r="Z9" s="48"/>
      <c r="AA9" s="48"/>
      <c r="AB9" s="48"/>
      <c r="AC9" s="48"/>
      <c r="AD9" s="48"/>
      <c r="AE9" s="48"/>
      <c r="AF9" s="48"/>
      <c r="AG9" s="48"/>
      <c r="AH9" s="48"/>
      <c r="AI9" s="48"/>
      <c r="AJ9" s="48"/>
      <c r="AK9" s="48"/>
      <c r="AL9" s="48"/>
    </row>
    <row r="10" spans="1:38" ht="15" customHeight="1" x14ac:dyDescent="0.25">
      <c r="A10" s="94"/>
      <c r="B10" s="54"/>
      <c r="C10" s="107"/>
      <c r="D10" s="9"/>
      <c r="E10" s="108"/>
      <c r="F10" s="9"/>
      <c r="G10" s="206"/>
      <c r="H10" s="9"/>
      <c r="I10" s="9"/>
      <c r="J10" s="9"/>
      <c r="K10" s="9"/>
      <c r="L10" s="110"/>
      <c r="M10" s="9"/>
      <c r="N10" s="44"/>
      <c r="O10" s="44"/>
      <c r="P10" s="44"/>
      <c r="Q10" s="111"/>
      <c r="R10" s="99"/>
      <c r="S10" s="4"/>
      <c r="T10" s="4"/>
      <c r="U10" s="4"/>
      <c r="V10" s="4"/>
      <c r="W10" s="101"/>
      <c r="X10" s="48"/>
      <c r="Y10" s="48"/>
      <c r="Z10" s="48"/>
      <c r="AA10" s="48"/>
      <c r="AB10" s="48"/>
      <c r="AC10" s="48"/>
      <c r="AD10" s="48"/>
      <c r="AE10" s="48"/>
      <c r="AF10" s="48"/>
      <c r="AG10" s="48"/>
      <c r="AH10" s="48"/>
      <c r="AI10" s="48"/>
      <c r="AJ10" s="48"/>
      <c r="AK10" s="48"/>
      <c r="AL10" s="48"/>
    </row>
    <row r="11" spans="1:38" ht="15" customHeight="1" x14ac:dyDescent="0.25">
      <c r="A11" s="94"/>
      <c r="B11" s="60" t="str">
        <f>RESUMO!B11</f>
        <v>Bancos:</v>
      </c>
      <c r="C11" s="107"/>
      <c r="D11" s="9"/>
      <c r="E11" s="108"/>
      <c r="F11" s="9"/>
      <c r="G11" s="206"/>
      <c r="H11" s="9"/>
      <c r="I11" s="9"/>
      <c r="J11" s="9"/>
      <c r="K11" s="9"/>
      <c r="L11" s="110"/>
      <c r="M11" s="9" t="str">
        <f>RESUMO!D11</f>
        <v>BDI Equipamentos:</v>
      </c>
      <c r="N11" s="44"/>
      <c r="O11" s="112" t="str">
        <f>RESUMO!E11</f>
        <v>Encargo Social Horista:</v>
      </c>
      <c r="P11" s="44"/>
      <c r="Q11" s="59" t="str">
        <f>'DADOS GERAIS'!$B$23</f>
        <v>Revisão:</v>
      </c>
      <c r="R11" s="99"/>
      <c r="S11" s="4"/>
      <c r="T11" s="4"/>
      <c r="U11" s="4"/>
      <c r="V11" s="4"/>
      <c r="W11" s="101"/>
      <c r="X11" s="48"/>
      <c r="Y11" s="48"/>
      <c r="Z11" s="48"/>
      <c r="AA11" s="48"/>
      <c r="AB11" s="48"/>
      <c r="AC11" s="48"/>
      <c r="AD11" s="48"/>
      <c r="AE11" s="48"/>
      <c r="AF11" s="48"/>
      <c r="AG11" s="48"/>
      <c r="AH11" s="48"/>
      <c r="AI11" s="48"/>
      <c r="AJ11" s="48"/>
      <c r="AK11" s="48"/>
      <c r="AL11" s="48"/>
    </row>
    <row r="12" spans="1:38" ht="15" customHeight="1" x14ac:dyDescent="0.25">
      <c r="A12" s="94"/>
      <c r="B12" s="113" t="str">
        <f>'DADOS GERAIS'!$B$12</f>
        <v>SINAPI (12/2024) - CPOS/CDHU (09/2024) - SBC (12/2024) - ORSE (12/2024) - IOPES (03/2024) - EMOP (12/2024) - SEINFRA 027 (DESONERADO)</v>
      </c>
      <c r="C12" s="107"/>
      <c r="D12" s="9"/>
      <c r="E12" s="108"/>
      <c r="F12" s="9"/>
      <c r="G12" s="206"/>
      <c r="H12" s="9"/>
      <c r="I12" s="9"/>
      <c r="J12" s="9"/>
      <c r="K12" s="9"/>
      <c r="L12" s="110"/>
      <c r="M12" s="109">
        <f>RESUMO!D12</f>
        <v>0.19070000000000001</v>
      </c>
      <c r="N12" s="114"/>
      <c r="O12" s="109">
        <f>RESUMO!E12</f>
        <v>0.85799999999999998</v>
      </c>
      <c r="P12" s="114"/>
      <c r="Q12" s="115" t="str">
        <f>'DADOS GERAIS'!$C$23</f>
        <v>01</v>
      </c>
      <c r="R12" s="99"/>
      <c r="S12" s="4"/>
      <c r="T12" s="4"/>
      <c r="U12" s="4"/>
      <c r="V12" s="4"/>
      <c r="W12" s="101"/>
      <c r="X12" s="48"/>
      <c r="Y12" s="48"/>
      <c r="Z12" s="48"/>
      <c r="AA12" s="48"/>
      <c r="AB12" s="48"/>
      <c r="AC12" s="48"/>
      <c r="AD12" s="48"/>
      <c r="AE12" s="48"/>
      <c r="AF12" s="48"/>
      <c r="AG12" s="48"/>
      <c r="AH12" s="48"/>
      <c r="AI12" s="48"/>
      <c r="AJ12" s="48"/>
      <c r="AK12" s="48"/>
      <c r="AL12" s="48"/>
    </row>
    <row r="13" spans="1:38" ht="15" customHeight="1" x14ac:dyDescent="0.25">
      <c r="A13" s="94"/>
      <c r="B13" s="116"/>
      <c r="C13" s="117"/>
      <c r="D13" s="14"/>
      <c r="E13" s="118"/>
      <c r="F13" s="14"/>
      <c r="G13" s="207"/>
      <c r="H13" s="14"/>
      <c r="I13" s="202"/>
      <c r="J13" s="14"/>
      <c r="K13" s="202"/>
      <c r="L13" s="119"/>
      <c r="M13" s="14"/>
      <c r="N13" s="120"/>
      <c r="O13" s="120"/>
      <c r="P13" s="120"/>
      <c r="Q13" s="121"/>
      <c r="R13" s="122"/>
      <c r="S13" s="123"/>
      <c r="T13" s="123"/>
      <c r="U13" s="123"/>
      <c r="V13" s="123"/>
      <c r="W13" s="124"/>
      <c r="X13" s="48"/>
      <c r="Y13" s="48"/>
      <c r="Z13" s="48"/>
      <c r="AA13" s="48"/>
      <c r="AB13" s="48"/>
      <c r="AC13" s="48"/>
      <c r="AD13" s="48"/>
      <c r="AE13" s="48"/>
      <c r="AF13" s="48"/>
      <c r="AG13" s="48"/>
      <c r="AH13" s="48"/>
      <c r="AI13" s="48"/>
      <c r="AJ13" s="48"/>
      <c r="AK13" s="48"/>
      <c r="AL13" s="48"/>
    </row>
    <row r="14" spans="1:38" ht="15" customHeight="1" x14ac:dyDescent="0.25">
      <c r="A14" s="94"/>
      <c r="B14" s="95"/>
      <c r="C14" s="125"/>
      <c r="D14" s="48"/>
      <c r="E14" s="126"/>
      <c r="F14" s="48"/>
      <c r="G14" s="208"/>
      <c r="H14" s="48"/>
      <c r="I14" s="48"/>
      <c r="J14" s="48"/>
      <c r="K14" s="48"/>
      <c r="L14" s="49"/>
      <c r="M14" s="4"/>
      <c r="N14" s="48"/>
      <c r="O14" s="48"/>
      <c r="P14" s="48"/>
      <c r="Q14" s="48"/>
      <c r="R14" s="99"/>
      <c r="S14" s="4"/>
      <c r="T14" s="4"/>
      <c r="U14" s="4"/>
      <c r="V14" s="4"/>
      <c r="W14" s="101"/>
      <c r="X14" s="48"/>
      <c r="Y14" s="48"/>
      <c r="Z14" s="48"/>
      <c r="AA14" s="48"/>
      <c r="AB14" s="48"/>
      <c r="AC14" s="48"/>
      <c r="AD14" s="48"/>
      <c r="AE14" s="48"/>
      <c r="AF14" s="48"/>
      <c r="AG14" s="48"/>
      <c r="AH14" s="48"/>
      <c r="AI14" s="48"/>
      <c r="AJ14" s="48"/>
      <c r="AK14" s="48"/>
      <c r="AL14" s="48"/>
    </row>
    <row r="15" spans="1:38" ht="15" customHeight="1" x14ac:dyDescent="0.25">
      <c r="A15" s="127"/>
      <c r="B15" s="371" t="s">
        <v>27</v>
      </c>
      <c r="C15" s="373" t="s">
        <v>28</v>
      </c>
      <c r="D15" s="371" t="s">
        <v>29</v>
      </c>
      <c r="E15" s="371" t="s">
        <v>30</v>
      </c>
      <c r="F15" s="374" t="s">
        <v>31</v>
      </c>
      <c r="G15" s="375" t="s">
        <v>32</v>
      </c>
      <c r="H15" s="373" t="s">
        <v>33</v>
      </c>
      <c r="I15" s="381" t="s">
        <v>1643</v>
      </c>
      <c r="J15" s="377" t="s">
        <v>34</v>
      </c>
      <c r="K15" s="378"/>
      <c r="L15" s="379"/>
      <c r="M15" s="380"/>
      <c r="N15" s="377" t="s">
        <v>35</v>
      </c>
      <c r="O15" s="379"/>
      <c r="P15" s="380"/>
      <c r="Q15" s="373" t="s">
        <v>36</v>
      </c>
      <c r="R15" s="96"/>
      <c r="S15" s="96"/>
      <c r="T15" s="124"/>
      <c r="U15" s="125"/>
      <c r="V15" s="125"/>
      <c r="W15" s="125"/>
      <c r="X15" s="125"/>
      <c r="Y15" s="125"/>
      <c r="Z15" s="125"/>
      <c r="AA15" s="125"/>
      <c r="AB15" s="125"/>
      <c r="AC15" s="125"/>
      <c r="AD15" s="125"/>
      <c r="AE15" s="125"/>
      <c r="AF15" s="125"/>
      <c r="AG15" s="125"/>
      <c r="AH15" s="125"/>
      <c r="AI15" s="125"/>
      <c r="AJ15" s="125"/>
      <c r="AK15" s="44"/>
      <c r="AL15" s="44"/>
    </row>
    <row r="16" spans="1:38" x14ac:dyDescent="0.25">
      <c r="A16" s="127"/>
      <c r="B16" s="372"/>
      <c r="C16" s="372"/>
      <c r="D16" s="372"/>
      <c r="E16" s="372"/>
      <c r="F16" s="372"/>
      <c r="G16" s="376"/>
      <c r="H16" s="372"/>
      <c r="I16" s="382"/>
      <c r="J16" s="128" t="s">
        <v>37</v>
      </c>
      <c r="K16" s="289" t="s">
        <v>1644</v>
      </c>
      <c r="L16" s="128" t="s">
        <v>38</v>
      </c>
      <c r="M16" s="128" t="s">
        <v>35</v>
      </c>
      <c r="N16" s="128" t="s">
        <v>37</v>
      </c>
      <c r="O16" s="128" t="s">
        <v>38</v>
      </c>
      <c r="P16" s="128" t="s">
        <v>35</v>
      </c>
      <c r="Q16" s="372"/>
      <c r="R16" s="96"/>
      <c r="S16" s="96"/>
      <c r="T16" s="124"/>
      <c r="U16" s="125"/>
      <c r="V16" s="125"/>
      <c r="W16" s="125"/>
      <c r="X16" s="125"/>
      <c r="Y16" s="125"/>
      <c r="Z16" s="125"/>
      <c r="AA16" s="125"/>
      <c r="AB16" s="125"/>
      <c r="AC16" s="125"/>
      <c r="AD16" s="125"/>
      <c r="AE16" s="125"/>
      <c r="AF16" s="125"/>
      <c r="AG16" s="125"/>
      <c r="AH16" s="125"/>
      <c r="AI16" s="125"/>
      <c r="AJ16" s="125"/>
      <c r="AK16" s="44"/>
      <c r="AL16" s="44"/>
    </row>
    <row r="17" spans="1:38" ht="15.6" x14ac:dyDescent="0.25">
      <c r="A17" s="94"/>
      <c r="B17" s="129"/>
      <c r="C17" s="130"/>
      <c r="D17" s="130"/>
      <c r="E17" s="131"/>
      <c r="F17" s="132"/>
      <c r="G17" s="209"/>
      <c r="H17" s="130"/>
      <c r="I17" s="288"/>
      <c r="J17" s="133"/>
      <c r="K17" s="290"/>
      <c r="L17" s="133"/>
      <c r="M17" s="133"/>
      <c r="N17" s="134"/>
      <c r="O17" s="122"/>
      <c r="P17" s="96"/>
      <c r="Q17" s="96"/>
      <c r="R17" s="96"/>
      <c r="S17" s="96"/>
      <c r="T17" s="101"/>
      <c r="U17" s="48"/>
      <c r="V17" s="48"/>
      <c r="W17" s="48"/>
      <c r="X17" s="48"/>
      <c r="Y17" s="48"/>
      <c r="Z17" s="48"/>
      <c r="AA17" s="48"/>
      <c r="AB17" s="48"/>
      <c r="AC17" s="48"/>
      <c r="AD17" s="48"/>
      <c r="AE17" s="48"/>
      <c r="AF17" s="48"/>
      <c r="AG17" s="48"/>
      <c r="AH17" s="48"/>
      <c r="AI17" s="48"/>
      <c r="AJ17" s="48"/>
      <c r="AK17" s="44"/>
      <c r="AL17" s="44"/>
    </row>
    <row r="18" spans="1:38" ht="15" customHeight="1" x14ac:dyDescent="0.25">
      <c r="A18" s="94"/>
      <c r="B18" s="261">
        <v>1</v>
      </c>
      <c r="C18" s="261"/>
      <c r="D18" s="261"/>
      <c r="E18" s="261" t="s">
        <v>501</v>
      </c>
      <c r="F18" s="261"/>
      <c r="G18" s="276"/>
      <c r="H18" s="262"/>
      <c r="I18" s="286"/>
      <c r="J18" s="261"/>
      <c r="K18" s="291"/>
      <c r="L18" s="261"/>
      <c r="M18" s="261"/>
      <c r="N18" s="261"/>
      <c r="O18" s="261"/>
      <c r="P18" s="263"/>
      <c r="Q18" s="264"/>
      <c r="R18" s="135"/>
      <c r="S18" s="135"/>
      <c r="T18" s="126"/>
      <c r="U18" s="48"/>
      <c r="V18" s="48"/>
      <c r="W18" s="48"/>
      <c r="X18" s="48"/>
      <c r="Y18" s="48"/>
      <c r="Z18" s="48"/>
      <c r="AA18" s="48"/>
      <c r="AB18" s="48"/>
      <c r="AC18" s="48"/>
      <c r="AD18" s="48"/>
      <c r="AE18" s="48"/>
      <c r="AF18" s="48"/>
      <c r="AG18" s="48"/>
      <c r="AH18" s="48"/>
      <c r="AI18" s="48"/>
      <c r="AJ18" s="48"/>
      <c r="AK18" s="44"/>
      <c r="AL18" s="44"/>
    </row>
    <row r="19" spans="1:38" x14ac:dyDescent="0.25">
      <c r="A19" s="94"/>
      <c r="B19" s="261" t="s">
        <v>39</v>
      </c>
      <c r="C19" s="261"/>
      <c r="D19" s="261"/>
      <c r="E19" s="261" t="s">
        <v>502</v>
      </c>
      <c r="F19" s="261"/>
      <c r="G19" s="276"/>
      <c r="H19" s="262"/>
      <c r="I19" s="286"/>
      <c r="J19" s="261"/>
      <c r="K19" s="291"/>
      <c r="L19" s="261"/>
      <c r="M19" s="261"/>
      <c r="N19" s="261"/>
      <c r="O19" s="261"/>
      <c r="P19" s="263"/>
      <c r="Q19" s="264"/>
      <c r="R19" s="85"/>
      <c r="S19" s="49" t="s">
        <v>1674</v>
      </c>
      <c r="T19" s="126"/>
      <c r="U19" s="48"/>
      <c r="V19" s="48"/>
      <c r="W19" s="48"/>
      <c r="X19" s="48"/>
      <c r="Y19" s="48"/>
      <c r="Z19" s="48"/>
      <c r="AA19" s="48"/>
      <c r="AB19" s="48"/>
      <c r="AC19" s="48"/>
      <c r="AD19" s="48"/>
      <c r="AE19" s="48"/>
      <c r="AF19" s="48"/>
      <c r="AG19" s="48"/>
      <c r="AH19" s="48"/>
      <c r="AI19" s="48"/>
      <c r="AJ19" s="48"/>
      <c r="AK19" s="44"/>
      <c r="AL19" s="44"/>
    </row>
    <row r="20" spans="1:38" x14ac:dyDescent="0.25">
      <c r="A20" s="94"/>
      <c r="B20" s="265" t="s">
        <v>503</v>
      </c>
      <c r="C20" s="266" t="s">
        <v>783</v>
      </c>
      <c r="D20" s="265" t="s">
        <v>199</v>
      </c>
      <c r="E20" s="265" t="s">
        <v>784</v>
      </c>
      <c r="F20" s="267" t="s">
        <v>785</v>
      </c>
      <c r="G20" s="277">
        <v>12</v>
      </c>
      <c r="H20" s="268">
        <v>895.61</v>
      </c>
      <c r="I20" s="287">
        <v>75.83</v>
      </c>
      <c r="J20" s="268">
        <v>96.21</v>
      </c>
      <c r="K20" s="292">
        <v>819.78</v>
      </c>
      <c r="L20" s="268">
        <v>1040.05</v>
      </c>
      <c r="M20" s="268">
        <v>1136.26</v>
      </c>
      <c r="N20" s="268">
        <v>1154.52</v>
      </c>
      <c r="O20" s="268">
        <v>12480.6</v>
      </c>
      <c r="P20" s="268">
        <v>13635.12</v>
      </c>
      <c r="Q20" s="269">
        <v>5.4000000000000003E-3</v>
      </c>
      <c r="R20" s="44"/>
      <c r="S20" s="49">
        <f>G20*H20</f>
        <v>10747.32</v>
      </c>
      <c r="T20" s="124"/>
      <c r="U20" s="48"/>
      <c r="V20" s="48"/>
      <c r="W20" s="48"/>
      <c r="X20" s="48"/>
      <c r="Y20" s="48"/>
      <c r="Z20" s="48"/>
      <c r="AA20" s="48"/>
      <c r="AB20" s="48"/>
      <c r="AC20" s="48"/>
      <c r="AD20" s="48"/>
      <c r="AE20" s="48"/>
      <c r="AF20" s="48"/>
      <c r="AG20" s="48"/>
      <c r="AH20" s="48"/>
      <c r="AI20" s="48"/>
      <c r="AJ20" s="48"/>
      <c r="AK20" s="44"/>
      <c r="AL20" s="44"/>
    </row>
    <row r="21" spans="1:38" x14ac:dyDescent="0.25">
      <c r="A21" s="94"/>
      <c r="B21" s="265" t="s">
        <v>516</v>
      </c>
      <c r="C21" s="266" t="s">
        <v>518</v>
      </c>
      <c r="D21" s="265" t="s">
        <v>100</v>
      </c>
      <c r="E21" s="265" t="s">
        <v>781</v>
      </c>
      <c r="F21" s="267" t="s">
        <v>41</v>
      </c>
      <c r="G21" s="277">
        <v>415.88</v>
      </c>
      <c r="H21" s="268">
        <v>321.08</v>
      </c>
      <c r="I21" s="287">
        <v>24.46</v>
      </c>
      <c r="J21" s="268">
        <v>31.03</v>
      </c>
      <c r="K21" s="292">
        <v>296.62</v>
      </c>
      <c r="L21" s="268">
        <v>376.32</v>
      </c>
      <c r="M21" s="268">
        <v>407.35</v>
      </c>
      <c r="N21" s="268">
        <v>12904.76</v>
      </c>
      <c r="O21" s="268">
        <v>156503.96</v>
      </c>
      <c r="P21" s="268">
        <v>169408.72</v>
      </c>
      <c r="Q21" s="269">
        <v>6.7000000000000004E-2</v>
      </c>
      <c r="R21" s="44"/>
      <c r="S21" s="49">
        <f t="shared" ref="S21:S84" si="0">G21*H21</f>
        <v>133530.75</v>
      </c>
      <c r="T21" s="126"/>
      <c r="U21" s="48"/>
      <c r="V21" s="48"/>
      <c r="W21" s="48"/>
      <c r="X21" s="48"/>
      <c r="Y21" s="48"/>
      <c r="Z21" s="48"/>
      <c r="AA21" s="48"/>
      <c r="AB21" s="48"/>
      <c r="AC21" s="48"/>
      <c r="AD21" s="48"/>
      <c r="AE21" s="48"/>
      <c r="AF21" s="48"/>
      <c r="AG21" s="48"/>
      <c r="AH21" s="48"/>
      <c r="AI21" s="48"/>
      <c r="AJ21" s="48"/>
      <c r="AK21" s="44"/>
      <c r="AL21" s="44"/>
    </row>
    <row r="22" spans="1:38" ht="27.6" x14ac:dyDescent="0.25">
      <c r="A22" s="94"/>
      <c r="B22" s="265" t="s">
        <v>522</v>
      </c>
      <c r="C22" s="266" t="s">
        <v>1196</v>
      </c>
      <c r="D22" s="265" t="s">
        <v>40</v>
      </c>
      <c r="E22" s="265" t="s">
        <v>1197</v>
      </c>
      <c r="F22" s="267" t="s">
        <v>41</v>
      </c>
      <c r="G22" s="277">
        <v>1009.97</v>
      </c>
      <c r="H22" s="268">
        <v>67.48</v>
      </c>
      <c r="I22" s="287">
        <v>22.8</v>
      </c>
      <c r="J22" s="268">
        <v>28.93</v>
      </c>
      <c r="K22" s="292">
        <v>44.68</v>
      </c>
      <c r="L22" s="268">
        <v>56.69</v>
      </c>
      <c r="M22" s="268">
        <v>85.62</v>
      </c>
      <c r="N22" s="268">
        <v>29218.43</v>
      </c>
      <c r="O22" s="268">
        <v>57255.199999999997</v>
      </c>
      <c r="P22" s="268">
        <v>86473.63</v>
      </c>
      <c r="Q22" s="269">
        <v>3.4200000000000001E-2</v>
      </c>
      <c r="R22" s="44"/>
      <c r="S22" s="49">
        <f t="shared" si="0"/>
        <v>68152.78</v>
      </c>
      <c r="T22" s="126"/>
      <c r="U22" s="48"/>
      <c r="V22" s="48"/>
      <c r="W22" s="48"/>
      <c r="X22" s="48"/>
      <c r="Y22" s="48"/>
      <c r="Z22" s="48"/>
      <c r="AA22" s="48"/>
      <c r="AB22" s="48"/>
      <c r="AC22" s="48"/>
      <c r="AD22" s="48"/>
      <c r="AE22" s="48"/>
      <c r="AF22" s="48"/>
      <c r="AG22" s="48"/>
      <c r="AH22" s="48"/>
      <c r="AI22" s="48"/>
      <c r="AJ22" s="48"/>
      <c r="AK22" s="44"/>
      <c r="AL22" s="44"/>
    </row>
    <row r="23" spans="1:38" ht="39.6" customHeight="1" x14ac:dyDescent="0.25">
      <c r="A23" s="94"/>
      <c r="B23" s="265" t="s">
        <v>73</v>
      </c>
      <c r="C23" s="266" t="s">
        <v>1423</v>
      </c>
      <c r="D23" s="265" t="s">
        <v>40</v>
      </c>
      <c r="E23" s="265" t="s">
        <v>1424</v>
      </c>
      <c r="F23" s="267" t="s">
        <v>59</v>
      </c>
      <c r="G23" s="277">
        <v>76.2</v>
      </c>
      <c r="H23" s="268">
        <v>674.09</v>
      </c>
      <c r="I23" s="287">
        <v>13.14</v>
      </c>
      <c r="J23" s="268">
        <v>16.670000000000002</v>
      </c>
      <c r="K23" s="292">
        <v>660.95</v>
      </c>
      <c r="L23" s="268">
        <v>838.55</v>
      </c>
      <c r="M23" s="268">
        <v>855.22</v>
      </c>
      <c r="N23" s="268">
        <v>1270.25</v>
      </c>
      <c r="O23" s="268">
        <v>63897.51</v>
      </c>
      <c r="P23" s="268">
        <v>65167.76</v>
      </c>
      <c r="Q23" s="269">
        <v>2.58E-2</v>
      </c>
      <c r="R23" s="44"/>
      <c r="S23" s="49">
        <f t="shared" si="0"/>
        <v>51365.66</v>
      </c>
      <c r="T23" s="126"/>
      <c r="U23" s="48"/>
      <c r="V23" s="48"/>
      <c r="W23" s="48"/>
      <c r="X23" s="48"/>
      <c r="Y23" s="48"/>
      <c r="Z23" s="48"/>
      <c r="AA23" s="48"/>
      <c r="AB23" s="48"/>
      <c r="AC23" s="48"/>
      <c r="AD23" s="48"/>
      <c r="AE23" s="48"/>
      <c r="AF23" s="48"/>
      <c r="AG23" s="48"/>
      <c r="AH23" s="48"/>
      <c r="AI23" s="48"/>
      <c r="AJ23" s="48"/>
      <c r="AK23" s="44"/>
      <c r="AL23" s="44"/>
    </row>
    <row r="24" spans="1:38" x14ac:dyDescent="0.25">
      <c r="A24" s="94"/>
      <c r="B24" s="265" t="s">
        <v>756</v>
      </c>
      <c r="C24" s="266" t="s">
        <v>788</v>
      </c>
      <c r="D24" s="265" t="s">
        <v>40</v>
      </c>
      <c r="E24" s="265" t="s">
        <v>789</v>
      </c>
      <c r="F24" s="267" t="s">
        <v>359</v>
      </c>
      <c r="G24" s="277">
        <v>2.4</v>
      </c>
      <c r="H24" s="268">
        <v>18188.59</v>
      </c>
      <c r="I24" s="287">
        <v>17793.98</v>
      </c>
      <c r="J24" s="268">
        <v>22575.22</v>
      </c>
      <c r="K24" s="292">
        <v>394.61</v>
      </c>
      <c r="L24" s="268">
        <v>500.64</v>
      </c>
      <c r="M24" s="268">
        <v>23075.86</v>
      </c>
      <c r="N24" s="268">
        <v>54180.53</v>
      </c>
      <c r="O24" s="268">
        <v>1201.54</v>
      </c>
      <c r="P24" s="268">
        <v>55382.07</v>
      </c>
      <c r="Q24" s="269">
        <v>2.1899999999999999E-2</v>
      </c>
      <c r="R24" s="44"/>
      <c r="S24" s="49">
        <f t="shared" si="0"/>
        <v>43652.62</v>
      </c>
      <c r="T24" s="126"/>
      <c r="U24" s="48"/>
      <c r="V24" s="48"/>
      <c r="W24" s="48"/>
      <c r="X24" s="48"/>
      <c r="Y24" s="48"/>
      <c r="Z24" s="48"/>
      <c r="AA24" s="48"/>
      <c r="AB24" s="48"/>
      <c r="AC24" s="48"/>
      <c r="AD24" s="48"/>
      <c r="AE24" s="48"/>
      <c r="AF24" s="48"/>
      <c r="AG24" s="48"/>
      <c r="AH24" s="48"/>
      <c r="AI24" s="48"/>
      <c r="AJ24" s="48"/>
      <c r="AK24" s="44"/>
      <c r="AL24" s="44"/>
    </row>
    <row r="25" spans="1:38" ht="27.6" x14ac:dyDescent="0.25">
      <c r="A25" s="94"/>
      <c r="B25" s="265" t="s">
        <v>558</v>
      </c>
      <c r="C25" s="266">
        <v>104958</v>
      </c>
      <c r="D25" s="265" t="s">
        <v>40</v>
      </c>
      <c r="E25" s="265" t="s">
        <v>1185</v>
      </c>
      <c r="F25" s="267" t="s">
        <v>41</v>
      </c>
      <c r="G25" s="277">
        <v>1957.38</v>
      </c>
      <c r="H25" s="268">
        <v>22.27</v>
      </c>
      <c r="I25" s="287">
        <v>9.06</v>
      </c>
      <c r="J25" s="268">
        <v>11.49</v>
      </c>
      <c r="K25" s="292">
        <v>13.21</v>
      </c>
      <c r="L25" s="268">
        <v>16.760000000000002</v>
      </c>
      <c r="M25" s="268">
        <v>28.25</v>
      </c>
      <c r="N25" s="268">
        <v>22490.3</v>
      </c>
      <c r="O25" s="268">
        <v>32805.69</v>
      </c>
      <c r="P25" s="268">
        <v>55295.99</v>
      </c>
      <c r="Q25" s="269">
        <v>2.1899999999999999E-2</v>
      </c>
      <c r="R25" s="44"/>
      <c r="S25" s="49">
        <f t="shared" si="0"/>
        <v>43590.85</v>
      </c>
      <c r="T25" s="126"/>
      <c r="U25" s="48"/>
      <c r="V25" s="48"/>
      <c r="W25" s="48"/>
      <c r="X25" s="48"/>
      <c r="Y25" s="48"/>
      <c r="Z25" s="48"/>
      <c r="AA25" s="48"/>
      <c r="AB25" s="48"/>
      <c r="AC25" s="48"/>
      <c r="AD25" s="48"/>
      <c r="AE25" s="48"/>
      <c r="AF25" s="48"/>
      <c r="AG25" s="48"/>
      <c r="AH25" s="48"/>
      <c r="AI25" s="48"/>
      <c r="AJ25" s="48"/>
      <c r="AK25" s="44"/>
      <c r="AL25" s="44"/>
    </row>
    <row r="26" spans="1:38" ht="27.6" x14ac:dyDescent="0.25">
      <c r="A26" s="94"/>
      <c r="B26" s="265" t="s">
        <v>104</v>
      </c>
      <c r="C26" s="266" t="s">
        <v>1000</v>
      </c>
      <c r="D26" s="265" t="s">
        <v>40</v>
      </c>
      <c r="E26" s="265" t="s">
        <v>1001</v>
      </c>
      <c r="F26" s="267" t="s">
        <v>41</v>
      </c>
      <c r="G26" s="277">
        <v>325.10000000000002</v>
      </c>
      <c r="H26" s="268">
        <v>125.06</v>
      </c>
      <c r="I26" s="287">
        <v>39.26</v>
      </c>
      <c r="J26" s="268">
        <v>49.81</v>
      </c>
      <c r="K26" s="292">
        <v>85.8</v>
      </c>
      <c r="L26" s="268">
        <v>108.85</v>
      </c>
      <c r="M26" s="268">
        <v>158.66</v>
      </c>
      <c r="N26" s="268">
        <v>16193.23</v>
      </c>
      <c r="O26" s="268">
        <v>35387.14</v>
      </c>
      <c r="P26" s="268">
        <v>51580.37</v>
      </c>
      <c r="Q26" s="269">
        <v>2.0400000000000001E-2</v>
      </c>
      <c r="R26" s="44"/>
      <c r="S26" s="49">
        <f t="shared" si="0"/>
        <v>40657.01</v>
      </c>
      <c r="T26" s="126"/>
      <c r="U26" s="48"/>
      <c r="V26" s="48"/>
      <c r="W26" s="48"/>
      <c r="X26" s="48"/>
      <c r="Y26" s="48"/>
      <c r="Z26" s="48"/>
      <c r="AA26" s="48"/>
      <c r="AB26" s="48"/>
      <c r="AC26" s="48"/>
      <c r="AD26" s="48"/>
      <c r="AE26" s="48"/>
      <c r="AF26" s="48"/>
      <c r="AG26" s="48"/>
      <c r="AH26" s="48"/>
      <c r="AI26" s="48"/>
      <c r="AJ26" s="48"/>
      <c r="AK26" s="44"/>
      <c r="AL26" s="44"/>
    </row>
    <row r="27" spans="1:38" ht="27.6" x14ac:dyDescent="0.25">
      <c r="A27" s="94"/>
      <c r="B27" s="265" t="s">
        <v>890</v>
      </c>
      <c r="C27" s="266" t="s">
        <v>1637</v>
      </c>
      <c r="D27" s="265" t="s">
        <v>40</v>
      </c>
      <c r="E27" s="265" t="s">
        <v>1638</v>
      </c>
      <c r="F27" s="267" t="s">
        <v>59</v>
      </c>
      <c r="G27" s="277">
        <v>57.9</v>
      </c>
      <c r="H27" s="268">
        <v>678.68</v>
      </c>
      <c r="I27" s="287">
        <v>57.51</v>
      </c>
      <c r="J27" s="268">
        <v>72.959999999999994</v>
      </c>
      <c r="K27" s="292">
        <v>621.16999999999996</v>
      </c>
      <c r="L27" s="268">
        <v>788.08</v>
      </c>
      <c r="M27" s="268">
        <v>861.04</v>
      </c>
      <c r="N27" s="268">
        <v>4224.38</v>
      </c>
      <c r="O27" s="268">
        <v>45629.83</v>
      </c>
      <c r="P27" s="268">
        <v>49854.21</v>
      </c>
      <c r="Q27" s="269">
        <v>1.9699999999999999E-2</v>
      </c>
      <c r="R27" s="44"/>
      <c r="S27" s="49">
        <f t="shared" si="0"/>
        <v>39295.57</v>
      </c>
      <c r="T27" s="126"/>
      <c r="U27" s="48"/>
      <c r="V27" s="48"/>
      <c r="W27" s="48"/>
      <c r="X27" s="48"/>
      <c r="Y27" s="48"/>
      <c r="Z27" s="48"/>
      <c r="AA27" s="48"/>
      <c r="AB27" s="48"/>
      <c r="AC27" s="48"/>
      <c r="AD27" s="48"/>
      <c r="AE27" s="48"/>
      <c r="AF27" s="48"/>
      <c r="AG27" s="48"/>
      <c r="AH27" s="48"/>
      <c r="AI27" s="48"/>
      <c r="AJ27" s="48"/>
      <c r="AK27" s="44"/>
      <c r="AL27" s="44"/>
    </row>
    <row r="28" spans="1:38" ht="27.6" x14ac:dyDescent="0.25">
      <c r="A28" s="94"/>
      <c r="B28" s="265" t="s">
        <v>563</v>
      </c>
      <c r="C28" s="266" t="s">
        <v>564</v>
      </c>
      <c r="D28" s="265" t="s">
        <v>40</v>
      </c>
      <c r="E28" s="265" t="s">
        <v>565</v>
      </c>
      <c r="F28" s="267" t="s">
        <v>41</v>
      </c>
      <c r="G28" s="277">
        <v>434.27</v>
      </c>
      <c r="H28" s="268">
        <v>85.11</v>
      </c>
      <c r="I28" s="287">
        <v>7.01</v>
      </c>
      <c r="J28" s="268">
        <v>8.89</v>
      </c>
      <c r="K28" s="292">
        <v>78.099999999999994</v>
      </c>
      <c r="L28" s="268">
        <v>99.09</v>
      </c>
      <c r="M28" s="268">
        <v>107.98</v>
      </c>
      <c r="N28" s="268">
        <v>3860.66</v>
      </c>
      <c r="O28" s="268">
        <v>43031.81</v>
      </c>
      <c r="P28" s="268">
        <v>46892.47</v>
      </c>
      <c r="Q28" s="269">
        <v>1.8499999999999999E-2</v>
      </c>
      <c r="R28" s="44"/>
      <c r="S28" s="49">
        <f t="shared" si="0"/>
        <v>36960.720000000001</v>
      </c>
      <c r="T28" s="126"/>
      <c r="U28" s="48"/>
      <c r="V28" s="48"/>
      <c r="W28" s="48"/>
      <c r="X28" s="48"/>
      <c r="Y28" s="48"/>
      <c r="Z28" s="48"/>
      <c r="AA28" s="48"/>
      <c r="AB28" s="48"/>
      <c r="AC28" s="48"/>
      <c r="AD28" s="48"/>
      <c r="AE28" s="48"/>
      <c r="AF28" s="48"/>
      <c r="AG28" s="48"/>
      <c r="AH28" s="48"/>
      <c r="AI28" s="48"/>
      <c r="AJ28" s="48"/>
      <c r="AK28" s="44"/>
      <c r="AL28" s="44"/>
    </row>
    <row r="29" spans="1:38" x14ac:dyDescent="0.25">
      <c r="A29" s="94"/>
      <c r="B29" s="265" t="s">
        <v>758</v>
      </c>
      <c r="C29" s="266" t="s">
        <v>77</v>
      </c>
      <c r="D29" s="265" t="s">
        <v>40</v>
      </c>
      <c r="E29" s="265" t="s">
        <v>78</v>
      </c>
      <c r="F29" s="267" t="s">
        <v>59</v>
      </c>
      <c r="G29" s="277">
        <v>284.54000000000002</v>
      </c>
      <c r="H29" s="268">
        <v>125.86</v>
      </c>
      <c r="I29" s="287">
        <v>8.74</v>
      </c>
      <c r="J29" s="268">
        <v>11.09</v>
      </c>
      <c r="K29" s="292">
        <v>117.12</v>
      </c>
      <c r="L29" s="268">
        <v>148.59</v>
      </c>
      <c r="M29" s="268">
        <v>159.68</v>
      </c>
      <c r="N29" s="268">
        <v>3155.55</v>
      </c>
      <c r="O29" s="268">
        <v>42279.8</v>
      </c>
      <c r="P29" s="268">
        <v>45435.35</v>
      </c>
      <c r="Q29" s="269">
        <v>1.7999999999999999E-2</v>
      </c>
      <c r="R29" s="44"/>
      <c r="S29" s="49">
        <f t="shared" si="0"/>
        <v>35812.199999999997</v>
      </c>
      <c r="T29" s="126"/>
      <c r="U29" s="48"/>
      <c r="V29" s="48"/>
      <c r="W29" s="48"/>
      <c r="X29" s="48"/>
      <c r="Y29" s="48"/>
      <c r="Z29" s="48"/>
      <c r="AA29" s="48"/>
      <c r="AB29" s="48"/>
      <c r="AC29" s="48"/>
      <c r="AD29" s="48"/>
      <c r="AE29" s="48"/>
      <c r="AF29" s="48"/>
      <c r="AG29" s="48"/>
      <c r="AH29" s="48"/>
      <c r="AI29" s="48"/>
      <c r="AJ29" s="48"/>
      <c r="AK29" s="44"/>
      <c r="AL29" s="44"/>
    </row>
    <row r="30" spans="1:38" ht="27.6" x14ac:dyDescent="0.25">
      <c r="A30" s="94"/>
      <c r="B30" s="265" t="s">
        <v>1022</v>
      </c>
      <c r="C30" s="266" t="s">
        <v>231</v>
      </c>
      <c r="D30" s="265" t="s">
        <v>40</v>
      </c>
      <c r="E30" s="265" t="s">
        <v>232</v>
      </c>
      <c r="F30" s="267" t="s">
        <v>41</v>
      </c>
      <c r="G30" s="277">
        <v>528.80999999999995</v>
      </c>
      <c r="H30" s="268">
        <v>67.239999999999995</v>
      </c>
      <c r="I30" s="287">
        <v>14.54</v>
      </c>
      <c r="J30" s="268">
        <v>18.45</v>
      </c>
      <c r="K30" s="292">
        <v>52.7</v>
      </c>
      <c r="L30" s="268">
        <v>66.86</v>
      </c>
      <c r="M30" s="268">
        <v>85.31</v>
      </c>
      <c r="N30" s="268">
        <v>9756.5400000000009</v>
      </c>
      <c r="O30" s="268">
        <v>35356.239999999998</v>
      </c>
      <c r="P30" s="268">
        <v>45112.78</v>
      </c>
      <c r="Q30" s="269">
        <v>1.78E-2</v>
      </c>
      <c r="R30" s="44"/>
      <c r="S30" s="49">
        <f t="shared" si="0"/>
        <v>35557.18</v>
      </c>
      <c r="T30" s="126"/>
      <c r="U30" s="48"/>
      <c r="V30" s="48"/>
      <c r="W30" s="48"/>
      <c r="X30" s="48"/>
      <c r="Y30" s="48"/>
      <c r="Z30" s="48"/>
      <c r="AA30" s="48"/>
      <c r="AB30" s="48"/>
      <c r="AC30" s="48"/>
      <c r="AD30" s="48"/>
      <c r="AE30" s="48"/>
      <c r="AF30" s="48"/>
      <c r="AG30" s="48"/>
      <c r="AH30" s="48"/>
      <c r="AI30" s="48"/>
      <c r="AJ30" s="48"/>
      <c r="AK30" s="44"/>
      <c r="AL30" s="44"/>
    </row>
    <row r="31" spans="1:38" ht="27.6" x14ac:dyDescent="0.25">
      <c r="A31" s="94"/>
      <c r="B31" s="265" t="s">
        <v>62</v>
      </c>
      <c r="C31" s="266" t="s">
        <v>1183</v>
      </c>
      <c r="D31" s="265" t="s">
        <v>40</v>
      </c>
      <c r="E31" s="265" t="s">
        <v>1184</v>
      </c>
      <c r="F31" s="267" t="s">
        <v>41</v>
      </c>
      <c r="G31" s="277">
        <v>465.2</v>
      </c>
      <c r="H31" s="268">
        <v>75.61</v>
      </c>
      <c r="I31" s="287">
        <v>34.17</v>
      </c>
      <c r="J31" s="268">
        <v>43.35</v>
      </c>
      <c r="K31" s="292">
        <v>41.44</v>
      </c>
      <c r="L31" s="268">
        <v>52.57</v>
      </c>
      <c r="M31" s="268">
        <v>95.92</v>
      </c>
      <c r="N31" s="268">
        <v>20166.419999999998</v>
      </c>
      <c r="O31" s="268">
        <v>24455.56</v>
      </c>
      <c r="P31" s="268">
        <v>44621.98</v>
      </c>
      <c r="Q31" s="269">
        <v>1.7600000000000001E-2</v>
      </c>
      <c r="R31" s="44"/>
      <c r="S31" s="49">
        <f t="shared" si="0"/>
        <v>35173.769999999997</v>
      </c>
      <c r="T31" s="126"/>
      <c r="U31" s="48"/>
      <c r="V31" s="48"/>
      <c r="W31" s="48"/>
      <c r="X31" s="48"/>
      <c r="Y31" s="48"/>
      <c r="Z31" s="48"/>
      <c r="AA31" s="48"/>
      <c r="AB31" s="48"/>
      <c r="AC31" s="48"/>
      <c r="AD31" s="48"/>
      <c r="AE31" s="48"/>
      <c r="AF31" s="48"/>
      <c r="AG31" s="48"/>
      <c r="AH31" s="48"/>
      <c r="AI31" s="48"/>
      <c r="AJ31" s="48"/>
      <c r="AK31" s="44"/>
      <c r="AL31" s="44"/>
    </row>
    <row r="32" spans="1:38" x14ac:dyDescent="0.25">
      <c r="A32" s="94"/>
      <c r="B32" s="265" t="s">
        <v>512</v>
      </c>
      <c r="C32" s="266" t="s">
        <v>50</v>
      </c>
      <c r="D32" s="265" t="s">
        <v>40</v>
      </c>
      <c r="E32" s="265" t="s">
        <v>986</v>
      </c>
      <c r="F32" s="267" t="s">
        <v>41</v>
      </c>
      <c r="G32" s="277">
        <v>382.58</v>
      </c>
      <c r="H32" s="268">
        <v>88.75</v>
      </c>
      <c r="I32" s="287">
        <v>21.85</v>
      </c>
      <c r="J32" s="268">
        <v>27.72</v>
      </c>
      <c r="K32" s="292">
        <v>66.900000000000006</v>
      </c>
      <c r="L32" s="268">
        <v>84.88</v>
      </c>
      <c r="M32" s="268">
        <v>112.6</v>
      </c>
      <c r="N32" s="268">
        <v>10605.12</v>
      </c>
      <c r="O32" s="268">
        <v>32473.39</v>
      </c>
      <c r="P32" s="268">
        <v>43078.51</v>
      </c>
      <c r="Q32" s="269">
        <v>1.7000000000000001E-2</v>
      </c>
      <c r="R32" s="44"/>
      <c r="S32" s="49">
        <f t="shared" si="0"/>
        <v>33953.980000000003</v>
      </c>
      <c r="T32" s="126"/>
      <c r="U32" s="48"/>
      <c r="V32" s="48"/>
      <c r="W32" s="48"/>
      <c r="X32" s="48"/>
      <c r="Y32" s="48"/>
      <c r="Z32" s="48"/>
      <c r="AA32" s="48"/>
      <c r="AB32" s="48"/>
      <c r="AC32" s="48"/>
      <c r="AD32" s="48"/>
      <c r="AE32" s="48"/>
      <c r="AF32" s="48"/>
      <c r="AG32" s="48"/>
      <c r="AH32" s="48"/>
      <c r="AI32" s="48"/>
      <c r="AJ32" s="48"/>
      <c r="AK32" s="44"/>
      <c r="AL32" s="44"/>
    </row>
    <row r="33" spans="1:38" ht="41.4" x14ac:dyDescent="0.25">
      <c r="A33" s="94"/>
      <c r="B33" s="265" t="s">
        <v>596</v>
      </c>
      <c r="C33" s="266" t="s">
        <v>880</v>
      </c>
      <c r="D33" s="265" t="s">
        <v>551</v>
      </c>
      <c r="E33" s="265" t="s">
        <v>1147</v>
      </c>
      <c r="F33" s="267" t="s">
        <v>65</v>
      </c>
      <c r="G33" s="277">
        <v>485</v>
      </c>
      <c r="H33" s="268">
        <v>67.08</v>
      </c>
      <c r="I33" s="287">
        <v>28.74</v>
      </c>
      <c r="J33" s="268">
        <v>36.46</v>
      </c>
      <c r="K33" s="292">
        <v>38.340000000000003</v>
      </c>
      <c r="L33" s="268">
        <v>48.64</v>
      </c>
      <c r="M33" s="268">
        <v>85.1</v>
      </c>
      <c r="N33" s="268">
        <v>17683.099999999999</v>
      </c>
      <c r="O33" s="268">
        <v>23590.400000000001</v>
      </c>
      <c r="P33" s="268">
        <v>41273.5</v>
      </c>
      <c r="Q33" s="269">
        <v>1.6299999999999999E-2</v>
      </c>
      <c r="R33" s="44"/>
      <c r="S33" s="49">
        <f t="shared" si="0"/>
        <v>32533.8</v>
      </c>
      <c r="T33" s="126"/>
      <c r="U33" s="48"/>
      <c r="V33" s="48"/>
      <c r="W33" s="48"/>
      <c r="X33" s="48"/>
      <c r="Y33" s="48"/>
      <c r="Z33" s="48"/>
      <c r="AA33" s="48"/>
      <c r="AB33" s="48"/>
      <c r="AC33" s="48"/>
      <c r="AD33" s="48"/>
      <c r="AE33" s="48"/>
      <c r="AF33" s="48"/>
      <c r="AG33" s="48"/>
      <c r="AH33" s="48"/>
      <c r="AI33" s="48"/>
      <c r="AJ33" s="48"/>
      <c r="AK33" s="44"/>
      <c r="AL33" s="44"/>
    </row>
    <row r="34" spans="1:38" x14ac:dyDescent="0.25">
      <c r="A34" s="94"/>
      <c r="B34" s="265" t="s">
        <v>69</v>
      </c>
      <c r="C34" s="266" t="s">
        <v>70</v>
      </c>
      <c r="D34" s="265" t="s">
        <v>40</v>
      </c>
      <c r="E34" s="265" t="s">
        <v>991</v>
      </c>
      <c r="F34" s="267" t="s">
        <v>65</v>
      </c>
      <c r="G34" s="277">
        <v>2221</v>
      </c>
      <c r="H34" s="268">
        <v>14.03</v>
      </c>
      <c r="I34" s="287">
        <v>2.93</v>
      </c>
      <c r="J34" s="268">
        <v>3.72</v>
      </c>
      <c r="K34" s="292">
        <v>11.1</v>
      </c>
      <c r="L34" s="268">
        <v>14.08</v>
      </c>
      <c r="M34" s="268">
        <v>17.8</v>
      </c>
      <c r="N34" s="268">
        <v>8262.1200000000008</v>
      </c>
      <c r="O34" s="268">
        <v>31271.68</v>
      </c>
      <c r="P34" s="268">
        <v>39533.800000000003</v>
      </c>
      <c r="Q34" s="269">
        <v>1.5599999999999999E-2</v>
      </c>
      <c r="R34" s="44"/>
      <c r="S34" s="49">
        <f t="shared" si="0"/>
        <v>31160.63</v>
      </c>
      <c r="T34" s="124"/>
      <c r="U34" s="48"/>
      <c r="V34" s="48"/>
      <c r="W34" s="48"/>
      <c r="X34" s="48"/>
      <c r="Y34" s="48"/>
      <c r="Z34" s="48"/>
      <c r="AA34" s="48"/>
      <c r="AB34" s="48"/>
      <c r="AC34" s="48"/>
      <c r="AD34" s="48"/>
      <c r="AE34" s="48"/>
      <c r="AF34" s="48"/>
      <c r="AG34" s="48"/>
      <c r="AH34" s="48"/>
      <c r="AI34" s="48"/>
      <c r="AJ34" s="48"/>
      <c r="AK34" s="44"/>
      <c r="AL34" s="44"/>
    </row>
    <row r="35" spans="1:38" x14ac:dyDescent="0.25">
      <c r="A35" s="94"/>
      <c r="B35" s="265" t="s">
        <v>568</v>
      </c>
      <c r="C35" s="266" t="s">
        <v>236</v>
      </c>
      <c r="D35" s="265" t="s">
        <v>146</v>
      </c>
      <c r="E35" s="265" t="s">
        <v>237</v>
      </c>
      <c r="F35" s="267" t="s">
        <v>41</v>
      </c>
      <c r="G35" s="277">
        <v>366.29</v>
      </c>
      <c r="H35" s="268">
        <v>77.599999999999994</v>
      </c>
      <c r="I35" s="287">
        <v>0</v>
      </c>
      <c r="J35" s="268">
        <v>0</v>
      </c>
      <c r="K35" s="292">
        <v>77.599999999999994</v>
      </c>
      <c r="L35" s="268">
        <v>98.45</v>
      </c>
      <c r="M35" s="268">
        <v>98.45</v>
      </c>
      <c r="N35" s="268">
        <v>0</v>
      </c>
      <c r="O35" s="268">
        <v>36061.25</v>
      </c>
      <c r="P35" s="268">
        <v>36061.25</v>
      </c>
      <c r="Q35" s="269">
        <v>1.43E-2</v>
      </c>
      <c r="R35" s="44"/>
      <c r="S35" s="49">
        <f t="shared" si="0"/>
        <v>28424.1</v>
      </c>
      <c r="T35" s="126"/>
      <c r="U35" s="48"/>
      <c r="V35" s="48"/>
      <c r="W35" s="48"/>
      <c r="X35" s="48"/>
      <c r="Y35" s="48"/>
      <c r="Z35" s="48"/>
      <c r="AA35" s="48"/>
      <c r="AB35" s="48"/>
      <c r="AC35" s="48"/>
      <c r="AD35" s="48"/>
      <c r="AE35" s="48"/>
      <c r="AF35" s="48"/>
      <c r="AG35" s="48"/>
      <c r="AH35" s="48"/>
      <c r="AI35" s="48"/>
      <c r="AJ35" s="48"/>
      <c r="AK35" s="44"/>
      <c r="AL35" s="44"/>
    </row>
    <row r="36" spans="1:38" x14ac:dyDescent="0.25">
      <c r="A36" s="94"/>
      <c r="B36" s="265" t="s">
        <v>523</v>
      </c>
      <c r="C36" s="266" t="s">
        <v>796</v>
      </c>
      <c r="D36" s="265" t="s">
        <v>146</v>
      </c>
      <c r="E36" s="265" t="s">
        <v>797</v>
      </c>
      <c r="F36" s="267" t="s">
        <v>41</v>
      </c>
      <c r="G36" s="277">
        <v>137.80000000000001</v>
      </c>
      <c r="H36" s="268">
        <v>205.4</v>
      </c>
      <c r="I36" s="287">
        <v>76.09</v>
      </c>
      <c r="J36" s="268">
        <v>96.54</v>
      </c>
      <c r="K36" s="292">
        <v>129.31</v>
      </c>
      <c r="L36" s="268">
        <v>164.06</v>
      </c>
      <c r="M36" s="268">
        <v>260.60000000000002</v>
      </c>
      <c r="N36" s="268">
        <v>13303.21</v>
      </c>
      <c r="O36" s="268">
        <v>22607.47</v>
      </c>
      <c r="P36" s="268">
        <v>35910.68</v>
      </c>
      <c r="Q36" s="269">
        <v>1.4200000000000001E-2</v>
      </c>
      <c r="R36" s="44"/>
      <c r="S36" s="49">
        <f t="shared" si="0"/>
        <v>28304.12</v>
      </c>
      <c r="T36" s="126"/>
      <c r="U36" s="48"/>
      <c r="V36" s="48"/>
      <c r="W36" s="48"/>
      <c r="X36" s="48"/>
      <c r="Y36" s="48"/>
      <c r="Z36" s="48"/>
      <c r="AA36" s="48"/>
      <c r="AB36" s="48"/>
      <c r="AC36" s="48"/>
      <c r="AD36" s="48"/>
      <c r="AE36" s="48"/>
      <c r="AF36" s="48"/>
      <c r="AG36" s="48"/>
      <c r="AH36" s="48"/>
      <c r="AI36" s="48"/>
      <c r="AJ36" s="48"/>
      <c r="AK36" s="44"/>
      <c r="AL36" s="44"/>
    </row>
    <row r="37" spans="1:38" ht="27.6" x14ac:dyDescent="0.25">
      <c r="A37" s="94"/>
      <c r="B37" s="265" t="s">
        <v>517</v>
      </c>
      <c r="C37" s="266" t="s">
        <v>1452</v>
      </c>
      <c r="D37" s="265" t="s">
        <v>40</v>
      </c>
      <c r="E37" s="265" t="s">
        <v>1453</v>
      </c>
      <c r="F37" s="267" t="s">
        <v>59</v>
      </c>
      <c r="G37" s="277">
        <v>1555.27</v>
      </c>
      <c r="H37" s="268">
        <v>17.27</v>
      </c>
      <c r="I37" s="287">
        <v>5.12</v>
      </c>
      <c r="J37" s="268">
        <v>6.5</v>
      </c>
      <c r="K37" s="292">
        <v>12.15</v>
      </c>
      <c r="L37" s="268">
        <v>15.41</v>
      </c>
      <c r="M37" s="268">
        <v>21.91</v>
      </c>
      <c r="N37" s="268">
        <v>10109.26</v>
      </c>
      <c r="O37" s="268">
        <v>23966.71</v>
      </c>
      <c r="P37" s="268">
        <v>34075.97</v>
      </c>
      <c r="Q37" s="269">
        <v>1.35E-2</v>
      </c>
      <c r="R37" s="44"/>
      <c r="S37" s="49">
        <f t="shared" si="0"/>
        <v>26859.51</v>
      </c>
      <c r="T37" s="126"/>
      <c r="U37" s="48"/>
      <c r="V37" s="48"/>
      <c r="W37" s="48"/>
      <c r="X37" s="48"/>
      <c r="Y37" s="48"/>
      <c r="Z37" s="48"/>
      <c r="AA37" s="48"/>
      <c r="AB37" s="48"/>
      <c r="AC37" s="48"/>
      <c r="AD37" s="48"/>
      <c r="AE37" s="48"/>
      <c r="AF37" s="48"/>
      <c r="AG37" s="48"/>
      <c r="AH37" s="48"/>
      <c r="AI37" s="48"/>
      <c r="AJ37" s="48"/>
      <c r="AK37" s="44"/>
      <c r="AL37" s="44"/>
    </row>
    <row r="38" spans="1:38" ht="41.4" x14ac:dyDescent="0.25">
      <c r="A38" s="94"/>
      <c r="B38" s="265" t="s">
        <v>533</v>
      </c>
      <c r="C38" s="266" t="s">
        <v>1012</v>
      </c>
      <c r="D38" s="265" t="s">
        <v>40</v>
      </c>
      <c r="E38" s="265" t="s">
        <v>1013</v>
      </c>
      <c r="F38" s="267" t="s">
        <v>65</v>
      </c>
      <c r="G38" s="277">
        <v>1345</v>
      </c>
      <c r="H38" s="268">
        <v>19.52</v>
      </c>
      <c r="I38" s="287">
        <v>1.06</v>
      </c>
      <c r="J38" s="268">
        <v>1.34</v>
      </c>
      <c r="K38" s="292">
        <v>18.46</v>
      </c>
      <c r="L38" s="268">
        <v>23.42</v>
      </c>
      <c r="M38" s="268">
        <v>24.76</v>
      </c>
      <c r="N38" s="268">
        <v>1802.3</v>
      </c>
      <c r="O38" s="268">
        <v>31499.9</v>
      </c>
      <c r="P38" s="268">
        <v>33302.199999999997</v>
      </c>
      <c r="Q38" s="269">
        <v>1.32E-2</v>
      </c>
      <c r="R38" s="44"/>
      <c r="S38" s="49">
        <f t="shared" si="0"/>
        <v>26254.400000000001</v>
      </c>
      <c r="T38" s="126"/>
      <c r="U38" s="48"/>
      <c r="V38" s="48"/>
      <c r="W38" s="48"/>
      <c r="X38" s="48"/>
      <c r="Y38" s="48"/>
      <c r="Z38" s="48"/>
      <c r="AA38" s="48"/>
      <c r="AB38" s="48"/>
      <c r="AC38" s="48"/>
      <c r="AD38" s="48"/>
      <c r="AE38" s="48"/>
      <c r="AF38" s="48"/>
      <c r="AG38" s="48"/>
      <c r="AH38" s="48"/>
      <c r="AI38" s="48"/>
      <c r="AJ38" s="48"/>
      <c r="AK38" s="44"/>
      <c r="AL38" s="44"/>
    </row>
    <row r="39" spans="1:38" ht="41.4" x14ac:dyDescent="0.25">
      <c r="A39" s="94"/>
      <c r="B39" s="265" t="s">
        <v>536</v>
      </c>
      <c r="C39" s="266" t="s">
        <v>150</v>
      </c>
      <c r="D39" s="265" t="s">
        <v>40</v>
      </c>
      <c r="E39" s="265" t="s">
        <v>151</v>
      </c>
      <c r="F39" s="267" t="s">
        <v>41</v>
      </c>
      <c r="G39" s="277">
        <v>459.5</v>
      </c>
      <c r="H39" s="268">
        <v>53.71</v>
      </c>
      <c r="I39" s="287">
        <v>4.34</v>
      </c>
      <c r="J39" s="268">
        <v>5.51</v>
      </c>
      <c r="K39" s="292">
        <v>49.37</v>
      </c>
      <c r="L39" s="268">
        <v>62.64</v>
      </c>
      <c r="M39" s="268">
        <v>68.150000000000006</v>
      </c>
      <c r="N39" s="268">
        <v>2531.85</v>
      </c>
      <c r="O39" s="268">
        <v>28783.08</v>
      </c>
      <c r="P39" s="268">
        <v>31314.93</v>
      </c>
      <c r="Q39" s="269">
        <v>1.24E-2</v>
      </c>
      <c r="R39" s="44"/>
      <c r="S39" s="49">
        <f t="shared" si="0"/>
        <v>24679.75</v>
      </c>
      <c r="T39" s="126"/>
      <c r="U39" s="48"/>
      <c r="V39" s="48"/>
      <c r="W39" s="48"/>
      <c r="X39" s="48"/>
      <c r="Y39" s="48"/>
      <c r="Z39" s="48"/>
      <c r="AA39" s="48"/>
      <c r="AB39" s="48"/>
      <c r="AC39" s="48"/>
      <c r="AD39" s="48"/>
      <c r="AE39" s="48"/>
      <c r="AF39" s="48"/>
      <c r="AG39" s="48"/>
      <c r="AH39" s="48"/>
      <c r="AI39" s="48"/>
      <c r="AJ39" s="48"/>
      <c r="AK39" s="44"/>
      <c r="AL39" s="44"/>
    </row>
    <row r="40" spans="1:38" ht="27.6" x14ac:dyDescent="0.25">
      <c r="A40" s="94"/>
      <c r="B40" s="265" t="s">
        <v>116</v>
      </c>
      <c r="C40" s="266" t="s">
        <v>1002</v>
      </c>
      <c r="D40" s="265" t="s">
        <v>100</v>
      </c>
      <c r="E40" s="265" t="s">
        <v>1003</v>
      </c>
      <c r="F40" s="267" t="s">
        <v>59</v>
      </c>
      <c r="G40" s="277">
        <v>36.9</v>
      </c>
      <c r="H40" s="268">
        <v>625.25</v>
      </c>
      <c r="I40" s="287">
        <v>36.15</v>
      </c>
      <c r="J40" s="268">
        <v>45.86</v>
      </c>
      <c r="K40" s="292">
        <v>589.1</v>
      </c>
      <c r="L40" s="268">
        <v>747.39</v>
      </c>
      <c r="M40" s="268">
        <v>793.25</v>
      </c>
      <c r="N40" s="268">
        <v>1692.23</v>
      </c>
      <c r="O40" s="268">
        <v>27578.69</v>
      </c>
      <c r="P40" s="268">
        <v>29270.92</v>
      </c>
      <c r="Q40" s="269">
        <v>1.1599999999999999E-2</v>
      </c>
      <c r="R40" s="44"/>
      <c r="S40" s="49">
        <f t="shared" si="0"/>
        <v>23071.73</v>
      </c>
      <c r="T40" s="126"/>
      <c r="U40" s="48"/>
      <c r="V40" s="48"/>
      <c r="W40" s="48"/>
      <c r="X40" s="48"/>
      <c r="Y40" s="48"/>
      <c r="Z40" s="48"/>
      <c r="AA40" s="48"/>
      <c r="AB40" s="48"/>
      <c r="AC40" s="48"/>
      <c r="AD40" s="48"/>
      <c r="AE40" s="48"/>
      <c r="AF40" s="48"/>
      <c r="AG40" s="48"/>
      <c r="AH40" s="48"/>
      <c r="AI40" s="48"/>
      <c r="AJ40" s="48"/>
      <c r="AK40" s="44"/>
      <c r="AL40" s="44"/>
    </row>
    <row r="41" spans="1:38" ht="27.6" x14ac:dyDescent="0.25">
      <c r="A41" s="94"/>
      <c r="B41" s="265" t="s">
        <v>1556</v>
      </c>
      <c r="C41" s="266" t="s">
        <v>713</v>
      </c>
      <c r="D41" s="265" t="s">
        <v>40</v>
      </c>
      <c r="E41" s="265" t="s">
        <v>714</v>
      </c>
      <c r="F41" s="267" t="s">
        <v>55</v>
      </c>
      <c r="G41" s="277">
        <v>1068.9000000000001</v>
      </c>
      <c r="H41" s="268">
        <v>19.71</v>
      </c>
      <c r="I41" s="287">
        <v>7.7</v>
      </c>
      <c r="J41" s="268">
        <v>9.77</v>
      </c>
      <c r="K41" s="292">
        <v>12.01</v>
      </c>
      <c r="L41" s="268">
        <v>15.24</v>
      </c>
      <c r="M41" s="268">
        <v>25.01</v>
      </c>
      <c r="N41" s="268">
        <v>10443.15</v>
      </c>
      <c r="O41" s="268">
        <v>16290.04</v>
      </c>
      <c r="P41" s="268">
        <v>26733.19</v>
      </c>
      <c r="Q41" s="269">
        <v>1.06E-2</v>
      </c>
      <c r="R41" s="44"/>
      <c r="S41" s="49">
        <f t="shared" si="0"/>
        <v>21068.02</v>
      </c>
      <c r="T41" s="126"/>
      <c r="U41" s="48"/>
      <c r="V41" s="48"/>
      <c r="W41" s="48"/>
      <c r="X41" s="48"/>
      <c r="Y41" s="48"/>
      <c r="Z41" s="48"/>
      <c r="AA41" s="48"/>
      <c r="AB41" s="48"/>
      <c r="AC41" s="48"/>
      <c r="AD41" s="48"/>
      <c r="AE41" s="48"/>
      <c r="AF41" s="48"/>
      <c r="AG41" s="48"/>
      <c r="AH41" s="48"/>
      <c r="AI41" s="48"/>
      <c r="AJ41" s="48"/>
      <c r="AK41" s="44"/>
      <c r="AL41" s="44"/>
    </row>
    <row r="42" spans="1:38" ht="41.4" x14ac:dyDescent="0.25">
      <c r="A42" s="94"/>
      <c r="B42" s="265" t="s">
        <v>531</v>
      </c>
      <c r="C42" s="266" t="s">
        <v>1008</v>
      </c>
      <c r="D42" s="265" t="s">
        <v>100</v>
      </c>
      <c r="E42" s="265" t="s">
        <v>1009</v>
      </c>
      <c r="F42" s="267" t="s">
        <v>41</v>
      </c>
      <c r="G42" s="277">
        <v>114.28</v>
      </c>
      <c r="H42" s="268">
        <v>175.68</v>
      </c>
      <c r="I42" s="287">
        <v>15.74</v>
      </c>
      <c r="J42" s="268">
        <v>19.97</v>
      </c>
      <c r="K42" s="292">
        <v>159.94</v>
      </c>
      <c r="L42" s="268">
        <v>202.92</v>
      </c>
      <c r="M42" s="268">
        <v>222.89</v>
      </c>
      <c r="N42" s="268">
        <v>2282.17</v>
      </c>
      <c r="O42" s="268">
        <v>23189.7</v>
      </c>
      <c r="P42" s="268">
        <v>25471.87</v>
      </c>
      <c r="Q42" s="269">
        <v>1.01E-2</v>
      </c>
      <c r="R42" s="44"/>
      <c r="S42" s="49">
        <f t="shared" si="0"/>
        <v>20076.71</v>
      </c>
      <c r="T42" s="126"/>
      <c r="U42" s="48"/>
      <c r="V42" s="48"/>
      <c r="W42" s="48"/>
      <c r="X42" s="48"/>
      <c r="Y42" s="48"/>
      <c r="Z42" s="48"/>
      <c r="AA42" s="48"/>
      <c r="AB42" s="48"/>
      <c r="AC42" s="48"/>
      <c r="AD42" s="48"/>
      <c r="AE42" s="48"/>
      <c r="AF42" s="48"/>
      <c r="AG42" s="48"/>
      <c r="AH42" s="48"/>
      <c r="AI42" s="48"/>
      <c r="AJ42" s="48"/>
      <c r="AK42" s="44"/>
      <c r="AL42" s="44"/>
    </row>
    <row r="43" spans="1:38" ht="27.6" x14ac:dyDescent="0.25">
      <c r="A43" s="94"/>
      <c r="B43" s="265" t="s">
        <v>1078</v>
      </c>
      <c r="C43" s="266">
        <v>91926</v>
      </c>
      <c r="D43" s="265" t="s">
        <v>40</v>
      </c>
      <c r="E43" s="265" t="s">
        <v>210</v>
      </c>
      <c r="F43" s="267" t="s">
        <v>55</v>
      </c>
      <c r="G43" s="277">
        <v>4759.3</v>
      </c>
      <c r="H43" s="268">
        <v>4.24</v>
      </c>
      <c r="I43" s="287">
        <v>0.98</v>
      </c>
      <c r="J43" s="268">
        <v>1.24</v>
      </c>
      <c r="K43" s="292">
        <v>3.26</v>
      </c>
      <c r="L43" s="268">
        <v>4.1399999999999997</v>
      </c>
      <c r="M43" s="268">
        <v>5.38</v>
      </c>
      <c r="N43" s="268">
        <v>5901.53</v>
      </c>
      <c r="O43" s="268">
        <v>19703.5</v>
      </c>
      <c r="P43" s="268">
        <v>25605.03</v>
      </c>
      <c r="Q43" s="269">
        <v>1.01E-2</v>
      </c>
      <c r="R43" s="44"/>
      <c r="S43" s="49">
        <f t="shared" si="0"/>
        <v>20179.43</v>
      </c>
      <c r="T43" s="126"/>
      <c r="U43" s="48"/>
      <c r="V43" s="48"/>
      <c r="W43" s="48"/>
      <c r="X43" s="48"/>
      <c r="Y43" s="48"/>
      <c r="Z43" s="48"/>
      <c r="AA43" s="48"/>
      <c r="AB43" s="48"/>
      <c r="AC43" s="48"/>
      <c r="AD43" s="48"/>
      <c r="AE43" s="48"/>
      <c r="AF43" s="48"/>
      <c r="AG43" s="48"/>
      <c r="AH43" s="48"/>
      <c r="AI43" s="48"/>
      <c r="AJ43" s="48"/>
      <c r="AK43" s="44"/>
      <c r="AL43" s="44"/>
    </row>
    <row r="44" spans="1:38" x14ac:dyDescent="0.25">
      <c r="A44" s="94"/>
      <c r="B44" s="265" t="s">
        <v>759</v>
      </c>
      <c r="C44" s="266" t="s">
        <v>79</v>
      </c>
      <c r="D44" s="265" t="s">
        <v>40</v>
      </c>
      <c r="E44" s="265" t="s">
        <v>80</v>
      </c>
      <c r="F44" s="267" t="s">
        <v>41</v>
      </c>
      <c r="G44" s="277">
        <v>463.02</v>
      </c>
      <c r="H44" s="268">
        <v>41.38</v>
      </c>
      <c r="I44" s="287">
        <v>9.39</v>
      </c>
      <c r="J44" s="268">
        <v>11.91</v>
      </c>
      <c r="K44" s="292">
        <v>31.99</v>
      </c>
      <c r="L44" s="268">
        <v>40.590000000000003</v>
      </c>
      <c r="M44" s="268">
        <v>52.5</v>
      </c>
      <c r="N44" s="268">
        <v>5514.57</v>
      </c>
      <c r="O44" s="268">
        <v>18793.98</v>
      </c>
      <c r="P44" s="268">
        <v>24308.55</v>
      </c>
      <c r="Q44" s="269">
        <v>9.5999999999999992E-3</v>
      </c>
      <c r="R44" s="44"/>
      <c r="S44" s="49">
        <f t="shared" si="0"/>
        <v>19159.77</v>
      </c>
      <c r="T44" s="126"/>
      <c r="U44" s="48"/>
      <c r="V44" s="48"/>
      <c r="W44" s="48"/>
      <c r="X44" s="48"/>
      <c r="Y44" s="48"/>
      <c r="Z44" s="48"/>
      <c r="AA44" s="48"/>
      <c r="AB44" s="48"/>
      <c r="AC44" s="48"/>
      <c r="AD44" s="48"/>
      <c r="AE44" s="48"/>
      <c r="AF44" s="48"/>
      <c r="AG44" s="48"/>
      <c r="AH44" s="48"/>
      <c r="AI44" s="48"/>
      <c r="AJ44" s="48"/>
      <c r="AK44" s="44"/>
      <c r="AL44" s="44"/>
    </row>
    <row r="45" spans="1:38" ht="41.4" x14ac:dyDescent="0.25">
      <c r="A45" s="94"/>
      <c r="B45" s="265" t="s">
        <v>530</v>
      </c>
      <c r="C45" s="266" t="s">
        <v>958</v>
      </c>
      <c r="D45" s="265" t="s">
        <v>100</v>
      </c>
      <c r="E45" s="265" t="s">
        <v>959</v>
      </c>
      <c r="F45" s="267" t="s">
        <v>41</v>
      </c>
      <c r="G45" s="277">
        <v>180.11</v>
      </c>
      <c r="H45" s="268">
        <v>106</v>
      </c>
      <c r="I45" s="287">
        <v>15.74</v>
      </c>
      <c r="J45" s="268">
        <v>19.97</v>
      </c>
      <c r="K45" s="292">
        <v>90.26</v>
      </c>
      <c r="L45" s="268">
        <v>114.51</v>
      </c>
      <c r="M45" s="268">
        <v>134.47999999999999</v>
      </c>
      <c r="N45" s="268">
        <v>3596.8</v>
      </c>
      <c r="O45" s="268">
        <v>20624.400000000001</v>
      </c>
      <c r="P45" s="268">
        <v>24221.200000000001</v>
      </c>
      <c r="Q45" s="269">
        <v>9.5999999999999992E-3</v>
      </c>
      <c r="R45" s="44"/>
      <c r="S45" s="49">
        <f t="shared" si="0"/>
        <v>19091.66</v>
      </c>
      <c r="T45" s="126"/>
      <c r="U45" s="48"/>
      <c r="V45" s="48"/>
      <c r="W45" s="48"/>
      <c r="X45" s="48"/>
      <c r="Y45" s="48"/>
      <c r="Z45" s="48"/>
      <c r="AA45" s="48"/>
      <c r="AB45" s="48"/>
      <c r="AC45" s="48"/>
      <c r="AD45" s="48"/>
      <c r="AE45" s="48"/>
      <c r="AF45" s="48"/>
      <c r="AG45" s="48"/>
      <c r="AH45" s="48"/>
      <c r="AI45" s="48"/>
      <c r="AJ45" s="48"/>
      <c r="AK45" s="44"/>
      <c r="AL45" s="44"/>
    </row>
    <row r="46" spans="1:38" ht="27.6" x14ac:dyDescent="0.25">
      <c r="A46" s="94"/>
      <c r="B46" s="265" t="s">
        <v>561</v>
      </c>
      <c r="C46" s="266">
        <v>104611</v>
      </c>
      <c r="D46" s="265" t="s">
        <v>40</v>
      </c>
      <c r="E46" s="265" t="s">
        <v>1021</v>
      </c>
      <c r="F46" s="267" t="s">
        <v>41</v>
      </c>
      <c r="G46" s="277">
        <v>211.41</v>
      </c>
      <c r="H46" s="268">
        <v>90.52</v>
      </c>
      <c r="I46" s="287">
        <v>18.149999999999999</v>
      </c>
      <c r="J46" s="268">
        <v>23.03</v>
      </c>
      <c r="K46" s="292">
        <v>72.37</v>
      </c>
      <c r="L46" s="268">
        <v>91.82</v>
      </c>
      <c r="M46" s="268">
        <v>114.85</v>
      </c>
      <c r="N46" s="268">
        <v>4868.7700000000004</v>
      </c>
      <c r="O46" s="268">
        <v>19411.669999999998</v>
      </c>
      <c r="P46" s="268">
        <v>24280.44</v>
      </c>
      <c r="Q46" s="269">
        <v>9.5999999999999992E-3</v>
      </c>
      <c r="R46" s="44"/>
      <c r="S46" s="49">
        <f t="shared" si="0"/>
        <v>19136.830000000002</v>
      </c>
      <c r="T46" s="126"/>
      <c r="U46" s="48"/>
      <c r="V46" s="48"/>
      <c r="W46" s="48"/>
      <c r="X46" s="48"/>
      <c r="Y46" s="48"/>
      <c r="Z46" s="48"/>
      <c r="AA46" s="48"/>
      <c r="AB46" s="48"/>
      <c r="AC46" s="48"/>
      <c r="AD46" s="48"/>
      <c r="AE46" s="48"/>
      <c r="AF46" s="48"/>
      <c r="AG46" s="48"/>
      <c r="AH46" s="48"/>
      <c r="AI46" s="48"/>
      <c r="AJ46" s="48"/>
      <c r="AK46" s="44"/>
      <c r="AL46" s="44"/>
    </row>
    <row r="47" spans="1:38" ht="27.6" x14ac:dyDescent="0.25">
      <c r="A47" s="94"/>
      <c r="B47" s="265" t="s">
        <v>86</v>
      </c>
      <c r="C47" s="266" t="s">
        <v>996</v>
      </c>
      <c r="D47" s="265" t="s">
        <v>40</v>
      </c>
      <c r="E47" s="265" t="s">
        <v>997</v>
      </c>
      <c r="F47" s="267" t="s">
        <v>41</v>
      </c>
      <c r="G47" s="277">
        <v>263.8</v>
      </c>
      <c r="H47" s="268">
        <v>71.48</v>
      </c>
      <c r="I47" s="287">
        <v>21.76</v>
      </c>
      <c r="J47" s="268">
        <v>27.61</v>
      </c>
      <c r="K47" s="292">
        <v>49.72</v>
      </c>
      <c r="L47" s="268">
        <v>63.08</v>
      </c>
      <c r="M47" s="268">
        <v>90.69</v>
      </c>
      <c r="N47" s="268">
        <v>7283.52</v>
      </c>
      <c r="O47" s="268">
        <v>16640.5</v>
      </c>
      <c r="P47" s="268">
        <v>23924.02</v>
      </c>
      <c r="Q47" s="269">
        <v>9.4999999999999998E-3</v>
      </c>
      <c r="R47" s="44"/>
      <c r="S47" s="49">
        <f t="shared" si="0"/>
        <v>18856.419999999998</v>
      </c>
      <c r="T47" s="126"/>
      <c r="U47" s="48"/>
      <c r="V47" s="48"/>
      <c r="W47" s="48"/>
      <c r="X47" s="48"/>
      <c r="Y47" s="48"/>
      <c r="Z47" s="48"/>
      <c r="AA47" s="48"/>
      <c r="AB47" s="48"/>
      <c r="AC47" s="48"/>
      <c r="AD47" s="48"/>
      <c r="AE47" s="48"/>
      <c r="AF47" s="48"/>
      <c r="AG47" s="48"/>
      <c r="AH47" s="48"/>
      <c r="AI47" s="48"/>
      <c r="AJ47" s="44"/>
      <c r="AK47" s="44"/>
      <c r="AL47" s="44"/>
    </row>
    <row r="48" spans="1:38" ht="41.4" x14ac:dyDescent="0.25">
      <c r="A48" s="94"/>
      <c r="B48" s="265" t="s">
        <v>787</v>
      </c>
      <c r="C48" s="266" t="s">
        <v>310</v>
      </c>
      <c r="D48" s="265" t="s">
        <v>100</v>
      </c>
      <c r="E48" s="265" t="s">
        <v>311</v>
      </c>
      <c r="F48" s="267" t="s">
        <v>312</v>
      </c>
      <c r="G48" s="277">
        <v>668.16</v>
      </c>
      <c r="H48" s="268">
        <v>28.06</v>
      </c>
      <c r="I48" s="287">
        <v>12.09</v>
      </c>
      <c r="J48" s="268">
        <v>15.34</v>
      </c>
      <c r="K48" s="292">
        <v>15.97</v>
      </c>
      <c r="L48" s="268">
        <v>20.260000000000002</v>
      </c>
      <c r="M48" s="268">
        <v>35.6</v>
      </c>
      <c r="N48" s="268">
        <v>10249.57</v>
      </c>
      <c r="O48" s="268">
        <v>13536.92</v>
      </c>
      <c r="P48" s="268">
        <v>23786.49</v>
      </c>
      <c r="Q48" s="269">
        <v>9.4000000000000004E-3</v>
      </c>
      <c r="R48" s="44"/>
      <c r="S48" s="49">
        <f t="shared" si="0"/>
        <v>18748.57</v>
      </c>
      <c r="T48" s="126"/>
      <c r="U48" s="48"/>
      <c r="V48" s="48"/>
      <c r="W48" s="48"/>
      <c r="X48" s="48"/>
      <c r="Y48" s="48"/>
      <c r="Z48" s="48"/>
      <c r="AA48" s="48"/>
      <c r="AB48" s="48"/>
      <c r="AC48" s="48"/>
      <c r="AD48" s="48"/>
      <c r="AE48" s="48"/>
      <c r="AF48" s="48"/>
      <c r="AG48" s="48"/>
      <c r="AH48" s="48"/>
      <c r="AI48" s="48"/>
      <c r="AJ48" s="44"/>
      <c r="AK48" s="44"/>
      <c r="AL48" s="44"/>
    </row>
    <row r="49" spans="1:38" x14ac:dyDescent="0.25">
      <c r="A49" s="94"/>
      <c r="B49" s="265" t="s">
        <v>821</v>
      </c>
      <c r="C49" s="266" t="s">
        <v>548</v>
      </c>
      <c r="D49" s="265" t="s">
        <v>51</v>
      </c>
      <c r="E49" s="265" t="s">
        <v>549</v>
      </c>
      <c r="F49" s="267" t="s">
        <v>55</v>
      </c>
      <c r="G49" s="277">
        <v>271.54000000000002</v>
      </c>
      <c r="H49" s="268">
        <v>65.47</v>
      </c>
      <c r="I49" s="287">
        <v>51.57</v>
      </c>
      <c r="J49" s="268">
        <v>65.430000000000007</v>
      </c>
      <c r="K49" s="292">
        <v>13.9</v>
      </c>
      <c r="L49" s="268">
        <v>17.63</v>
      </c>
      <c r="M49" s="268">
        <v>83.06</v>
      </c>
      <c r="N49" s="268">
        <v>17766.86</v>
      </c>
      <c r="O49" s="268">
        <v>4787.25</v>
      </c>
      <c r="P49" s="268">
        <v>22554.11</v>
      </c>
      <c r="Q49" s="269">
        <v>8.8999999999999999E-3</v>
      </c>
      <c r="R49" s="44"/>
      <c r="S49" s="49">
        <f t="shared" si="0"/>
        <v>17777.72</v>
      </c>
      <c r="T49" s="85"/>
      <c r="U49" s="48"/>
      <c r="V49" s="48"/>
      <c r="W49" s="48"/>
      <c r="X49" s="48"/>
      <c r="Y49" s="48"/>
      <c r="Z49" s="48"/>
      <c r="AA49" s="48"/>
      <c r="AB49" s="48"/>
      <c r="AC49" s="48"/>
      <c r="AD49" s="48"/>
      <c r="AE49" s="48"/>
      <c r="AF49" s="48"/>
      <c r="AG49" s="48"/>
      <c r="AH49" s="48"/>
      <c r="AI49" s="48"/>
      <c r="AJ49" s="44"/>
      <c r="AK49" s="44"/>
      <c r="AL49" s="44"/>
    </row>
    <row r="50" spans="1:38" x14ac:dyDescent="0.25">
      <c r="A50" s="94"/>
      <c r="B50" s="265" t="s">
        <v>506</v>
      </c>
      <c r="C50" s="266" t="s">
        <v>982</v>
      </c>
      <c r="D50" s="265" t="s">
        <v>51</v>
      </c>
      <c r="E50" s="265" t="s">
        <v>983</v>
      </c>
      <c r="F50" s="267" t="s">
        <v>41</v>
      </c>
      <c r="G50" s="277">
        <v>20</v>
      </c>
      <c r="H50" s="268">
        <v>878.71</v>
      </c>
      <c r="I50" s="287">
        <v>478.32</v>
      </c>
      <c r="J50" s="268">
        <v>606.84</v>
      </c>
      <c r="K50" s="292">
        <v>400.39</v>
      </c>
      <c r="L50" s="268">
        <v>507.97</v>
      </c>
      <c r="M50" s="268">
        <v>1114.81</v>
      </c>
      <c r="N50" s="268">
        <v>12136.8</v>
      </c>
      <c r="O50" s="268">
        <v>10159.4</v>
      </c>
      <c r="P50" s="268">
        <v>22296.2</v>
      </c>
      <c r="Q50" s="269">
        <v>8.8000000000000005E-3</v>
      </c>
      <c r="R50" s="44"/>
      <c r="S50" s="49">
        <f t="shared" si="0"/>
        <v>17574.2</v>
      </c>
      <c r="T50" s="126"/>
      <c r="U50" s="48"/>
      <c r="V50" s="48"/>
      <c r="W50" s="48"/>
      <c r="X50" s="48"/>
      <c r="Y50" s="48"/>
      <c r="Z50" s="48"/>
      <c r="AA50" s="48"/>
      <c r="AB50" s="48"/>
      <c r="AC50" s="48"/>
      <c r="AD50" s="48"/>
      <c r="AE50" s="48"/>
      <c r="AF50" s="48"/>
      <c r="AG50" s="48"/>
      <c r="AH50" s="48"/>
      <c r="AI50" s="48"/>
      <c r="AJ50" s="44"/>
      <c r="AK50" s="44"/>
      <c r="AL50" s="44"/>
    </row>
    <row r="51" spans="1:38" ht="27.6" x14ac:dyDescent="0.25">
      <c r="A51" s="94"/>
      <c r="B51" s="265" t="s">
        <v>1261</v>
      </c>
      <c r="C51" s="266" t="s">
        <v>656</v>
      </c>
      <c r="D51" s="265" t="s">
        <v>199</v>
      </c>
      <c r="E51" s="265" t="s">
        <v>765</v>
      </c>
      <c r="F51" s="267" t="s">
        <v>240</v>
      </c>
      <c r="G51" s="277">
        <v>157.4</v>
      </c>
      <c r="H51" s="268">
        <v>100.91</v>
      </c>
      <c r="I51" s="287">
        <v>50.22</v>
      </c>
      <c r="J51" s="268">
        <v>63.71</v>
      </c>
      <c r="K51" s="292">
        <v>50.69</v>
      </c>
      <c r="L51" s="268">
        <v>64.31</v>
      </c>
      <c r="M51" s="268">
        <v>128.02000000000001</v>
      </c>
      <c r="N51" s="268">
        <v>10027.950000000001</v>
      </c>
      <c r="O51" s="268">
        <v>10122.39</v>
      </c>
      <c r="P51" s="268">
        <v>20150.34</v>
      </c>
      <c r="Q51" s="269">
        <v>8.0000000000000002E-3</v>
      </c>
      <c r="R51" s="44"/>
      <c r="S51" s="49">
        <f t="shared" si="0"/>
        <v>15883.23</v>
      </c>
      <c r="T51" s="126"/>
      <c r="U51" s="48"/>
      <c r="V51" s="48"/>
      <c r="W51" s="48"/>
      <c r="X51" s="48"/>
      <c r="Y51" s="48"/>
      <c r="Z51" s="48"/>
      <c r="AA51" s="48"/>
      <c r="AB51" s="48"/>
      <c r="AC51" s="48"/>
      <c r="AD51" s="48"/>
      <c r="AE51" s="48"/>
      <c r="AF51" s="48"/>
      <c r="AG51" s="48"/>
      <c r="AH51" s="48"/>
      <c r="AI51" s="48"/>
      <c r="AJ51" s="44"/>
      <c r="AK51" s="44"/>
      <c r="AL51" s="44"/>
    </row>
    <row r="52" spans="1:38" ht="41.4" x14ac:dyDescent="0.25">
      <c r="A52" s="94"/>
      <c r="B52" s="265" t="s">
        <v>557</v>
      </c>
      <c r="C52" s="266" t="s">
        <v>141</v>
      </c>
      <c r="D52" s="265" t="s">
        <v>40</v>
      </c>
      <c r="E52" s="265" t="s">
        <v>142</v>
      </c>
      <c r="F52" s="267" t="s">
        <v>41</v>
      </c>
      <c r="G52" s="277">
        <v>2042.32</v>
      </c>
      <c r="H52" s="268">
        <v>7.03</v>
      </c>
      <c r="I52" s="287">
        <v>4.3</v>
      </c>
      <c r="J52" s="268">
        <v>5.46</v>
      </c>
      <c r="K52" s="292">
        <v>2.73</v>
      </c>
      <c r="L52" s="268">
        <v>3.46</v>
      </c>
      <c r="M52" s="268">
        <v>8.92</v>
      </c>
      <c r="N52" s="268">
        <v>11151.07</v>
      </c>
      <c r="O52" s="268">
        <v>7066.43</v>
      </c>
      <c r="P52" s="268">
        <v>18217.5</v>
      </c>
      <c r="Q52" s="269">
        <v>7.1999999999999998E-3</v>
      </c>
      <c r="R52" s="44"/>
      <c r="S52" s="49">
        <f t="shared" si="0"/>
        <v>14357.51</v>
      </c>
      <c r="T52" s="126"/>
      <c r="U52" s="48"/>
      <c r="V52" s="48"/>
      <c r="W52" s="48"/>
      <c r="X52" s="48"/>
      <c r="Y52" s="48"/>
      <c r="Z52" s="48"/>
      <c r="AA52" s="48"/>
      <c r="AB52" s="48"/>
      <c r="AC52" s="48"/>
      <c r="AD52" s="48"/>
      <c r="AE52" s="48"/>
      <c r="AF52" s="48"/>
      <c r="AG52" s="48"/>
      <c r="AH52" s="48"/>
      <c r="AI52" s="48"/>
      <c r="AJ52" s="44"/>
      <c r="AK52" s="44"/>
      <c r="AL52" s="44"/>
    </row>
    <row r="53" spans="1:38" ht="41.4" x14ac:dyDescent="0.25">
      <c r="A53" s="94"/>
      <c r="B53" s="265" t="s">
        <v>885</v>
      </c>
      <c r="C53" s="266" t="s">
        <v>1010</v>
      </c>
      <c r="D53" s="265" t="s">
        <v>100</v>
      </c>
      <c r="E53" s="265" t="s">
        <v>1011</v>
      </c>
      <c r="F53" s="267" t="s">
        <v>41</v>
      </c>
      <c r="G53" s="277">
        <v>78.569999999999993</v>
      </c>
      <c r="H53" s="268">
        <v>175.68</v>
      </c>
      <c r="I53" s="287">
        <v>15.74</v>
      </c>
      <c r="J53" s="268">
        <v>19.97</v>
      </c>
      <c r="K53" s="292">
        <v>159.94</v>
      </c>
      <c r="L53" s="268">
        <v>202.92</v>
      </c>
      <c r="M53" s="268">
        <v>222.89</v>
      </c>
      <c r="N53" s="268">
        <v>1569.04</v>
      </c>
      <c r="O53" s="268">
        <v>15943.42</v>
      </c>
      <c r="P53" s="268">
        <v>17512.46</v>
      </c>
      <c r="Q53" s="269">
        <v>6.8999999999999999E-3</v>
      </c>
      <c r="R53" s="44"/>
      <c r="S53" s="49">
        <f t="shared" si="0"/>
        <v>13803.18</v>
      </c>
      <c r="T53" s="85"/>
      <c r="U53" s="48"/>
      <c r="V53" s="48"/>
      <c r="W53" s="48"/>
      <c r="X53" s="48"/>
      <c r="Y53" s="48"/>
      <c r="Z53" s="48"/>
      <c r="AA53" s="48"/>
      <c r="AB53" s="48"/>
      <c r="AC53" s="48"/>
      <c r="AD53" s="48"/>
      <c r="AE53" s="48"/>
      <c r="AF53" s="48"/>
      <c r="AG53" s="48"/>
      <c r="AH53" s="48"/>
      <c r="AI53" s="48"/>
      <c r="AJ53" s="44"/>
      <c r="AK53" s="44"/>
      <c r="AL53" s="44"/>
    </row>
    <row r="54" spans="1:38" ht="15.6" x14ac:dyDescent="0.25">
      <c r="A54" s="136"/>
      <c r="B54" s="265" t="s">
        <v>1468</v>
      </c>
      <c r="C54" s="266" t="s">
        <v>1190</v>
      </c>
      <c r="D54" s="265" t="s">
        <v>40</v>
      </c>
      <c r="E54" s="265" t="s">
        <v>1191</v>
      </c>
      <c r="F54" s="267" t="s">
        <v>41</v>
      </c>
      <c r="G54" s="277">
        <v>1021.14</v>
      </c>
      <c r="H54" s="268">
        <v>13.38</v>
      </c>
      <c r="I54" s="287">
        <v>3.54</v>
      </c>
      <c r="J54" s="268">
        <v>4.49</v>
      </c>
      <c r="K54" s="292">
        <v>9.84</v>
      </c>
      <c r="L54" s="268">
        <v>12.48</v>
      </c>
      <c r="M54" s="268">
        <v>16.97</v>
      </c>
      <c r="N54" s="268">
        <v>4584.92</v>
      </c>
      <c r="O54" s="268">
        <v>12743.83</v>
      </c>
      <c r="P54" s="268">
        <v>17328.75</v>
      </c>
      <c r="Q54" s="269">
        <v>6.8999999999999999E-3</v>
      </c>
      <c r="R54" s="44"/>
      <c r="S54" s="49">
        <f t="shared" si="0"/>
        <v>13662.85</v>
      </c>
      <c r="T54" s="137"/>
      <c r="U54" s="66"/>
      <c r="V54" s="66"/>
      <c r="W54" s="66"/>
      <c r="X54" s="66"/>
      <c r="Y54" s="66"/>
      <c r="Z54" s="66"/>
      <c r="AA54" s="66"/>
      <c r="AB54" s="66"/>
      <c r="AC54" s="66"/>
      <c r="AD54" s="66"/>
      <c r="AE54" s="66"/>
      <c r="AF54" s="66"/>
      <c r="AG54" s="66"/>
      <c r="AH54" s="66"/>
      <c r="AI54" s="66"/>
      <c r="AJ54" s="9"/>
      <c r="AK54" s="44"/>
      <c r="AL54" s="44"/>
    </row>
    <row r="55" spans="1:38" ht="41.4" x14ac:dyDescent="0.25">
      <c r="A55" s="94"/>
      <c r="B55" s="265" t="s">
        <v>803</v>
      </c>
      <c r="C55" s="266" t="s">
        <v>1170</v>
      </c>
      <c r="D55" s="265" t="s">
        <v>40</v>
      </c>
      <c r="E55" s="265" t="s">
        <v>1171</v>
      </c>
      <c r="F55" s="267" t="s">
        <v>44</v>
      </c>
      <c r="G55" s="277">
        <v>13</v>
      </c>
      <c r="H55" s="268">
        <v>1024.21</v>
      </c>
      <c r="I55" s="287">
        <v>200.23</v>
      </c>
      <c r="J55" s="268">
        <v>254.03</v>
      </c>
      <c r="K55" s="292">
        <v>823.98</v>
      </c>
      <c r="L55" s="268">
        <v>1045.3800000000001</v>
      </c>
      <c r="M55" s="268">
        <v>1299.4100000000001</v>
      </c>
      <c r="N55" s="268">
        <v>3302.39</v>
      </c>
      <c r="O55" s="268">
        <v>13589.94</v>
      </c>
      <c r="P55" s="268">
        <v>16892.330000000002</v>
      </c>
      <c r="Q55" s="269">
        <v>6.7000000000000002E-3</v>
      </c>
      <c r="R55" s="44"/>
      <c r="S55" s="49">
        <f t="shared" si="0"/>
        <v>13314.73</v>
      </c>
      <c r="T55" s="126"/>
      <c r="U55" s="48"/>
      <c r="V55" s="48"/>
      <c r="W55" s="48"/>
      <c r="X55" s="48"/>
      <c r="Y55" s="48"/>
      <c r="Z55" s="48"/>
      <c r="AA55" s="48"/>
      <c r="AB55" s="48"/>
      <c r="AC55" s="48"/>
      <c r="AD55" s="48"/>
      <c r="AE55" s="48"/>
      <c r="AF55" s="48"/>
      <c r="AG55" s="48"/>
      <c r="AH55" s="48"/>
      <c r="AI55" s="48"/>
      <c r="AJ55" s="44"/>
      <c r="AK55" s="44"/>
      <c r="AL55" s="44"/>
    </row>
    <row r="56" spans="1:38" ht="27.6" customHeight="1" x14ac:dyDescent="0.25">
      <c r="A56" s="94"/>
      <c r="B56" s="265" t="s">
        <v>1116</v>
      </c>
      <c r="C56" s="266" t="s">
        <v>224</v>
      </c>
      <c r="D56" s="265" t="s">
        <v>51</v>
      </c>
      <c r="E56" s="265" t="s">
        <v>225</v>
      </c>
      <c r="F56" s="267" t="s">
        <v>55</v>
      </c>
      <c r="G56" s="277">
        <v>325.60000000000002</v>
      </c>
      <c r="H56" s="268">
        <v>40.950000000000003</v>
      </c>
      <c r="I56" s="287">
        <v>1.06</v>
      </c>
      <c r="J56" s="268">
        <v>1.34</v>
      </c>
      <c r="K56" s="292">
        <v>39.89</v>
      </c>
      <c r="L56" s="268">
        <v>50.61</v>
      </c>
      <c r="M56" s="268">
        <v>51.95</v>
      </c>
      <c r="N56" s="268">
        <v>436.3</v>
      </c>
      <c r="O56" s="268">
        <v>16478.62</v>
      </c>
      <c r="P56" s="268">
        <v>16914.919999999998</v>
      </c>
      <c r="Q56" s="269">
        <v>6.7000000000000002E-3</v>
      </c>
      <c r="R56" s="44"/>
      <c r="S56" s="49">
        <f t="shared" si="0"/>
        <v>13333.32</v>
      </c>
      <c r="T56" s="126"/>
      <c r="U56" s="48"/>
      <c r="V56" s="48"/>
      <c r="W56" s="48"/>
      <c r="X56" s="48"/>
      <c r="Y56" s="48"/>
      <c r="Z56" s="48"/>
      <c r="AA56" s="48"/>
      <c r="AB56" s="48"/>
      <c r="AC56" s="48"/>
      <c r="AD56" s="48"/>
      <c r="AE56" s="48"/>
      <c r="AF56" s="48"/>
      <c r="AG56" s="48"/>
      <c r="AH56" s="48"/>
      <c r="AI56" s="48"/>
      <c r="AJ56" s="44"/>
      <c r="AK56" s="44"/>
      <c r="AL56" s="44"/>
    </row>
    <row r="57" spans="1:38" x14ac:dyDescent="0.25">
      <c r="A57" s="94"/>
      <c r="B57" s="265" t="s">
        <v>246</v>
      </c>
      <c r="C57" s="266" t="s">
        <v>243</v>
      </c>
      <c r="D57" s="265" t="s">
        <v>146</v>
      </c>
      <c r="E57" s="265" t="s">
        <v>244</v>
      </c>
      <c r="F57" s="267" t="s">
        <v>41</v>
      </c>
      <c r="G57" s="277">
        <v>19.8</v>
      </c>
      <c r="H57" s="268">
        <v>664.43</v>
      </c>
      <c r="I57" s="287">
        <v>34.909999999999997</v>
      </c>
      <c r="J57" s="268">
        <v>44.29</v>
      </c>
      <c r="K57" s="292">
        <v>629.52</v>
      </c>
      <c r="L57" s="268">
        <v>798.67</v>
      </c>
      <c r="M57" s="268">
        <v>842.96</v>
      </c>
      <c r="N57" s="268">
        <v>876.94</v>
      </c>
      <c r="O57" s="268">
        <v>15813.67</v>
      </c>
      <c r="P57" s="268">
        <v>16690.61</v>
      </c>
      <c r="Q57" s="269">
        <v>6.6E-3</v>
      </c>
      <c r="R57" s="44"/>
      <c r="S57" s="49">
        <f t="shared" si="0"/>
        <v>13155.71</v>
      </c>
      <c r="T57" s="126"/>
      <c r="U57" s="48"/>
      <c r="V57" s="48"/>
      <c r="W57" s="48"/>
      <c r="X57" s="48"/>
      <c r="Y57" s="48"/>
      <c r="Z57" s="48"/>
      <c r="AA57" s="48"/>
      <c r="AB57" s="48"/>
      <c r="AC57" s="48"/>
      <c r="AD57" s="48"/>
      <c r="AE57" s="48"/>
      <c r="AF57" s="48"/>
      <c r="AG57" s="48"/>
      <c r="AH57" s="48"/>
      <c r="AI57" s="48"/>
      <c r="AJ57" s="44"/>
      <c r="AK57" s="44"/>
      <c r="AL57" s="44"/>
    </row>
    <row r="58" spans="1:38" ht="27.6" x14ac:dyDescent="0.25">
      <c r="A58" s="94"/>
      <c r="B58" s="265" t="s">
        <v>511</v>
      </c>
      <c r="C58" s="266" t="s">
        <v>513</v>
      </c>
      <c r="D58" s="265" t="s">
        <v>199</v>
      </c>
      <c r="E58" s="265" t="s">
        <v>754</v>
      </c>
      <c r="F58" s="267" t="s">
        <v>59</v>
      </c>
      <c r="G58" s="277">
        <v>120</v>
      </c>
      <c r="H58" s="268">
        <v>107.65</v>
      </c>
      <c r="I58" s="287">
        <v>11.14</v>
      </c>
      <c r="J58" s="268">
        <v>14.13</v>
      </c>
      <c r="K58" s="292">
        <v>96.51</v>
      </c>
      <c r="L58" s="268">
        <v>122.44</v>
      </c>
      <c r="M58" s="268">
        <v>136.57</v>
      </c>
      <c r="N58" s="268">
        <v>1695.6</v>
      </c>
      <c r="O58" s="268">
        <v>14692.8</v>
      </c>
      <c r="P58" s="268">
        <v>16388.400000000001</v>
      </c>
      <c r="Q58" s="269">
        <v>6.4999999999999997E-3</v>
      </c>
      <c r="R58" s="44"/>
      <c r="S58" s="49">
        <f t="shared" si="0"/>
        <v>12918</v>
      </c>
      <c r="T58" s="126"/>
      <c r="U58" s="48"/>
      <c r="V58" s="48"/>
      <c r="W58" s="48"/>
      <c r="X58" s="48"/>
      <c r="Y58" s="48"/>
      <c r="Z58" s="48"/>
      <c r="AA58" s="48"/>
      <c r="AB58" s="48"/>
      <c r="AC58" s="48"/>
      <c r="AD58" s="48"/>
      <c r="AE58" s="48"/>
      <c r="AF58" s="48"/>
      <c r="AG58" s="48"/>
      <c r="AH58" s="48"/>
      <c r="AI58" s="48"/>
      <c r="AJ58" s="44"/>
      <c r="AK58" s="44"/>
      <c r="AL58" s="44"/>
    </row>
    <row r="59" spans="1:38" x14ac:dyDescent="0.25">
      <c r="A59" s="94"/>
      <c r="B59" s="265" t="s">
        <v>1025</v>
      </c>
      <c r="C59" s="266" t="s">
        <v>1174</v>
      </c>
      <c r="D59" s="265" t="s">
        <v>40</v>
      </c>
      <c r="E59" s="265" t="s">
        <v>1175</v>
      </c>
      <c r="F59" s="267" t="s">
        <v>41</v>
      </c>
      <c r="G59" s="277">
        <v>1349.77</v>
      </c>
      <c r="H59" s="268">
        <v>9.67</v>
      </c>
      <c r="I59" s="287">
        <v>5.69</v>
      </c>
      <c r="J59" s="268">
        <v>7.22</v>
      </c>
      <c r="K59" s="292">
        <v>3.98</v>
      </c>
      <c r="L59" s="268">
        <v>5.05</v>
      </c>
      <c r="M59" s="268">
        <v>12.27</v>
      </c>
      <c r="N59" s="268">
        <v>9745.34</v>
      </c>
      <c r="O59" s="268">
        <v>6816.34</v>
      </c>
      <c r="P59" s="268">
        <v>16561.68</v>
      </c>
      <c r="Q59" s="269">
        <v>6.4999999999999997E-3</v>
      </c>
      <c r="R59" s="44"/>
      <c r="S59" s="49">
        <f t="shared" si="0"/>
        <v>13052.28</v>
      </c>
      <c r="T59" s="126"/>
      <c r="U59" s="48"/>
      <c r="V59" s="48"/>
      <c r="W59" s="48"/>
      <c r="X59" s="48"/>
      <c r="Y59" s="48"/>
      <c r="Z59" s="48"/>
      <c r="AA59" s="48"/>
      <c r="AB59" s="48"/>
      <c r="AC59" s="48"/>
      <c r="AD59" s="48"/>
      <c r="AE59" s="48"/>
      <c r="AF59" s="48"/>
      <c r="AG59" s="48"/>
      <c r="AH59" s="48"/>
      <c r="AI59" s="48"/>
      <c r="AJ59" s="44"/>
      <c r="AK59" s="44"/>
      <c r="AL59" s="44"/>
    </row>
    <row r="60" spans="1:38" ht="27.6" x14ac:dyDescent="0.25">
      <c r="A60" s="94"/>
      <c r="B60" s="265" t="s">
        <v>540</v>
      </c>
      <c r="C60" s="266" t="s">
        <v>156</v>
      </c>
      <c r="D60" s="265" t="s">
        <v>40</v>
      </c>
      <c r="E60" s="265" t="s">
        <v>157</v>
      </c>
      <c r="F60" s="267" t="s">
        <v>55</v>
      </c>
      <c r="G60" s="277">
        <v>90.1</v>
      </c>
      <c r="H60" s="268">
        <v>141.59</v>
      </c>
      <c r="I60" s="287">
        <v>19.07</v>
      </c>
      <c r="J60" s="268">
        <v>24.19</v>
      </c>
      <c r="K60" s="292">
        <v>122.52</v>
      </c>
      <c r="L60" s="268">
        <v>155.44</v>
      </c>
      <c r="M60" s="268">
        <v>179.63</v>
      </c>
      <c r="N60" s="268">
        <v>2179.52</v>
      </c>
      <c r="O60" s="268">
        <v>14005.14</v>
      </c>
      <c r="P60" s="268">
        <v>16184.66</v>
      </c>
      <c r="Q60" s="269">
        <v>6.4000000000000003E-3</v>
      </c>
      <c r="R60" s="44"/>
      <c r="S60" s="49">
        <f t="shared" si="0"/>
        <v>12757.26</v>
      </c>
      <c r="T60" s="126"/>
      <c r="U60" s="48"/>
      <c r="V60" s="48"/>
      <c r="W60" s="48"/>
      <c r="X60" s="48"/>
      <c r="Y60" s="48"/>
      <c r="Z60" s="48"/>
      <c r="AA60" s="48"/>
      <c r="AB60" s="48"/>
      <c r="AC60" s="48"/>
      <c r="AD60" s="48"/>
      <c r="AE60" s="48"/>
      <c r="AF60" s="48"/>
      <c r="AG60" s="48"/>
      <c r="AH60" s="48"/>
      <c r="AI60" s="48"/>
      <c r="AJ60" s="44"/>
      <c r="AK60" s="44"/>
      <c r="AL60" s="44"/>
    </row>
    <row r="61" spans="1:38" x14ac:dyDescent="0.25">
      <c r="A61" s="258"/>
      <c r="B61" s="265" t="s">
        <v>1227</v>
      </c>
      <c r="C61" s="266" t="s">
        <v>852</v>
      </c>
      <c r="D61" s="265" t="s">
        <v>100</v>
      </c>
      <c r="E61" s="265" t="s">
        <v>853</v>
      </c>
      <c r="F61" s="267" t="s">
        <v>44</v>
      </c>
      <c r="G61" s="277">
        <v>1</v>
      </c>
      <c r="H61" s="268">
        <v>12794.9</v>
      </c>
      <c r="I61" s="287">
        <v>179.9</v>
      </c>
      <c r="J61" s="268">
        <v>214.21</v>
      </c>
      <c r="K61" s="292">
        <v>12615</v>
      </c>
      <c r="L61" s="268">
        <v>15020.68</v>
      </c>
      <c r="M61" s="268">
        <v>15234.89</v>
      </c>
      <c r="N61" s="268">
        <v>214.21</v>
      </c>
      <c r="O61" s="268">
        <v>15020.68</v>
      </c>
      <c r="P61" s="268">
        <v>15234.89</v>
      </c>
      <c r="Q61" s="269">
        <v>6.0000000000000001E-3</v>
      </c>
      <c r="R61" s="44"/>
      <c r="S61" s="49">
        <f t="shared" si="0"/>
        <v>12794.9</v>
      </c>
      <c r="T61" s="126"/>
      <c r="U61" s="48"/>
      <c r="V61" s="48"/>
      <c r="W61" s="48"/>
      <c r="X61" s="48"/>
      <c r="Y61" s="48"/>
      <c r="Z61" s="48"/>
      <c r="AA61" s="48"/>
      <c r="AB61" s="48"/>
      <c r="AC61" s="48"/>
      <c r="AD61" s="48"/>
      <c r="AE61" s="48"/>
      <c r="AF61" s="48"/>
      <c r="AG61" s="48"/>
      <c r="AH61" s="48"/>
      <c r="AI61" s="48"/>
      <c r="AJ61" s="44"/>
      <c r="AK61" s="44"/>
      <c r="AL61" s="44"/>
    </row>
    <row r="62" spans="1:38" ht="15.6" x14ac:dyDescent="0.25">
      <c r="A62" s="259"/>
      <c r="B62" s="265" t="s">
        <v>1027</v>
      </c>
      <c r="C62" s="266" t="s">
        <v>1188</v>
      </c>
      <c r="D62" s="265" t="s">
        <v>40</v>
      </c>
      <c r="E62" s="265" t="s">
        <v>1189</v>
      </c>
      <c r="F62" s="267" t="s">
        <v>41</v>
      </c>
      <c r="G62" s="277">
        <v>1349.77</v>
      </c>
      <c r="H62" s="268">
        <v>8.7200000000000006</v>
      </c>
      <c r="I62" s="287">
        <v>3.75</v>
      </c>
      <c r="J62" s="268">
        <v>4.76</v>
      </c>
      <c r="K62" s="292">
        <v>4.97</v>
      </c>
      <c r="L62" s="268">
        <v>6.31</v>
      </c>
      <c r="M62" s="268">
        <v>11.07</v>
      </c>
      <c r="N62" s="268">
        <v>6424.91</v>
      </c>
      <c r="O62" s="268">
        <v>8517.0499999999993</v>
      </c>
      <c r="P62" s="268">
        <v>14941.96</v>
      </c>
      <c r="Q62" s="269">
        <v>5.8999999999999999E-3</v>
      </c>
      <c r="R62" s="44"/>
      <c r="S62" s="49">
        <f t="shared" si="0"/>
        <v>11769.99</v>
      </c>
      <c r="T62" s="137"/>
      <c r="U62" s="66"/>
      <c r="V62" s="66"/>
      <c r="W62" s="66"/>
      <c r="X62" s="66"/>
      <c r="Y62" s="66"/>
      <c r="Z62" s="66"/>
      <c r="AA62" s="66"/>
      <c r="AB62" s="66"/>
      <c r="AC62" s="66"/>
      <c r="AD62" s="66"/>
      <c r="AE62" s="66"/>
      <c r="AF62" s="66"/>
      <c r="AG62" s="66"/>
      <c r="AH62" s="66"/>
      <c r="AI62" s="66"/>
      <c r="AJ62" s="9"/>
      <c r="AK62" s="44"/>
      <c r="AL62" s="44"/>
    </row>
    <row r="63" spans="1:38" ht="27.6" customHeight="1" x14ac:dyDescent="0.25">
      <c r="A63" s="258"/>
      <c r="B63" s="265" t="s">
        <v>804</v>
      </c>
      <c r="C63" s="266" t="s">
        <v>1172</v>
      </c>
      <c r="D63" s="265" t="s">
        <v>40</v>
      </c>
      <c r="E63" s="265" t="s">
        <v>1173</v>
      </c>
      <c r="F63" s="267" t="s">
        <v>44</v>
      </c>
      <c r="G63" s="277">
        <v>12</v>
      </c>
      <c r="H63" s="268">
        <v>965.13</v>
      </c>
      <c r="I63" s="287">
        <v>196.67</v>
      </c>
      <c r="J63" s="268">
        <v>249.52</v>
      </c>
      <c r="K63" s="292">
        <v>768.46</v>
      </c>
      <c r="L63" s="268">
        <v>974.95</v>
      </c>
      <c r="M63" s="268">
        <v>1224.47</v>
      </c>
      <c r="N63" s="268">
        <v>2994.24</v>
      </c>
      <c r="O63" s="268">
        <v>11699.4</v>
      </c>
      <c r="P63" s="268">
        <v>14693.64</v>
      </c>
      <c r="Q63" s="269">
        <v>5.7999999999999996E-3</v>
      </c>
      <c r="R63" s="44"/>
      <c r="S63" s="49">
        <f t="shared" si="0"/>
        <v>11581.56</v>
      </c>
      <c r="T63" s="126"/>
      <c r="U63" s="48"/>
      <c r="V63" s="48"/>
      <c r="W63" s="48"/>
      <c r="X63" s="48"/>
      <c r="Y63" s="48"/>
      <c r="Z63" s="48"/>
      <c r="AA63" s="48"/>
      <c r="AB63" s="48"/>
      <c r="AC63" s="48"/>
      <c r="AD63" s="48"/>
      <c r="AE63" s="48"/>
      <c r="AF63" s="48"/>
      <c r="AG63" s="48"/>
      <c r="AH63" s="48"/>
      <c r="AI63" s="48"/>
      <c r="AJ63" s="44"/>
      <c r="AK63" s="44"/>
      <c r="AL63" s="44"/>
    </row>
    <row r="64" spans="1:38" x14ac:dyDescent="0.25">
      <c r="A64" s="94"/>
      <c r="B64" s="265" t="s">
        <v>505</v>
      </c>
      <c r="C64" s="266" t="s">
        <v>1342</v>
      </c>
      <c r="D64" s="265" t="s">
        <v>146</v>
      </c>
      <c r="E64" s="265" t="s">
        <v>1343</v>
      </c>
      <c r="F64" s="267" t="s">
        <v>1344</v>
      </c>
      <c r="G64" s="277">
        <v>12</v>
      </c>
      <c r="H64" s="268">
        <v>945.23</v>
      </c>
      <c r="I64" s="287">
        <v>0</v>
      </c>
      <c r="J64" s="268">
        <v>0</v>
      </c>
      <c r="K64" s="292">
        <v>945.23</v>
      </c>
      <c r="L64" s="268">
        <v>1199.21</v>
      </c>
      <c r="M64" s="268">
        <v>1199.21</v>
      </c>
      <c r="N64" s="268">
        <v>0</v>
      </c>
      <c r="O64" s="268">
        <v>14390.52</v>
      </c>
      <c r="P64" s="268">
        <v>14390.52</v>
      </c>
      <c r="Q64" s="269">
        <v>5.7000000000000002E-3</v>
      </c>
      <c r="R64" s="44"/>
      <c r="S64" s="49">
        <f t="shared" si="0"/>
        <v>11342.76</v>
      </c>
      <c r="T64" s="126"/>
      <c r="U64" s="48"/>
      <c r="V64" s="48"/>
      <c r="W64" s="48"/>
      <c r="X64" s="48"/>
      <c r="Y64" s="48"/>
      <c r="Z64" s="48"/>
      <c r="AA64" s="48"/>
      <c r="AB64" s="48"/>
      <c r="AC64" s="48"/>
      <c r="AD64" s="48"/>
      <c r="AE64" s="48"/>
      <c r="AF64" s="48"/>
      <c r="AG64" s="48"/>
      <c r="AH64" s="48"/>
      <c r="AI64" s="48"/>
      <c r="AJ64" s="44"/>
      <c r="AK64" s="44"/>
      <c r="AL64" s="44"/>
    </row>
    <row r="65" spans="1:38" ht="41.4" x14ac:dyDescent="0.25">
      <c r="A65" s="94"/>
      <c r="B65" s="265" t="s">
        <v>799</v>
      </c>
      <c r="C65" s="266" t="s">
        <v>152</v>
      </c>
      <c r="D65" s="265" t="s">
        <v>40</v>
      </c>
      <c r="E65" s="265" t="s">
        <v>153</v>
      </c>
      <c r="F65" s="267" t="s">
        <v>41</v>
      </c>
      <c r="G65" s="277">
        <v>459.5</v>
      </c>
      <c r="H65" s="268">
        <v>24.78</v>
      </c>
      <c r="I65" s="287">
        <v>3.97</v>
      </c>
      <c r="J65" s="268">
        <v>5.04</v>
      </c>
      <c r="K65" s="292">
        <v>20.81</v>
      </c>
      <c r="L65" s="268">
        <v>26.4</v>
      </c>
      <c r="M65" s="268">
        <v>31.44</v>
      </c>
      <c r="N65" s="268">
        <v>2315.88</v>
      </c>
      <c r="O65" s="268">
        <v>12130.8</v>
      </c>
      <c r="P65" s="268">
        <v>14446.68</v>
      </c>
      <c r="Q65" s="269">
        <v>5.7000000000000002E-3</v>
      </c>
      <c r="R65" s="44"/>
      <c r="S65" s="49">
        <f t="shared" si="0"/>
        <v>11386.41</v>
      </c>
      <c r="T65" s="126"/>
      <c r="U65" s="48"/>
      <c r="V65" s="48"/>
      <c r="W65" s="48"/>
      <c r="X65" s="48"/>
      <c r="Y65" s="48"/>
      <c r="Z65" s="48"/>
      <c r="AA65" s="48"/>
      <c r="AB65" s="48"/>
      <c r="AC65" s="48"/>
      <c r="AD65" s="48"/>
      <c r="AE65" s="48"/>
      <c r="AF65" s="48"/>
      <c r="AG65" s="48"/>
      <c r="AH65" s="48"/>
      <c r="AI65" s="48"/>
      <c r="AJ65" s="44"/>
      <c r="AK65" s="44"/>
      <c r="AL65" s="44"/>
    </row>
    <row r="66" spans="1:38" x14ac:dyDescent="0.25">
      <c r="A66" s="94"/>
      <c r="B66" s="265" t="s">
        <v>566</v>
      </c>
      <c r="C66" s="266" t="s">
        <v>145</v>
      </c>
      <c r="D66" s="265" t="s">
        <v>146</v>
      </c>
      <c r="E66" s="265" t="s">
        <v>147</v>
      </c>
      <c r="F66" s="267" t="s">
        <v>41</v>
      </c>
      <c r="G66" s="277">
        <v>434.27</v>
      </c>
      <c r="H66" s="268">
        <v>26.29</v>
      </c>
      <c r="I66" s="287">
        <v>16.190000000000001</v>
      </c>
      <c r="J66" s="268">
        <v>20.54</v>
      </c>
      <c r="K66" s="292">
        <v>10.1</v>
      </c>
      <c r="L66" s="268">
        <v>12.81</v>
      </c>
      <c r="M66" s="268">
        <v>33.35</v>
      </c>
      <c r="N66" s="268">
        <v>8919.91</v>
      </c>
      <c r="O66" s="268">
        <v>5563</v>
      </c>
      <c r="P66" s="268">
        <v>14482.91</v>
      </c>
      <c r="Q66" s="269">
        <v>5.7000000000000002E-3</v>
      </c>
      <c r="R66" s="44"/>
      <c r="S66" s="49">
        <f t="shared" si="0"/>
        <v>11416.96</v>
      </c>
      <c r="T66" s="126"/>
      <c r="U66" s="48"/>
      <c r="V66" s="48"/>
      <c r="W66" s="48"/>
      <c r="X66" s="48"/>
      <c r="Y66" s="48"/>
      <c r="Z66" s="48"/>
      <c r="AA66" s="48"/>
      <c r="AB66" s="48"/>
      <c r="AC66" s="48"/>
      <c r="AD66" s="48"/>
      <c r="AE66" s="48"/>
      <c r="AF66" s="48"/>
      <c r="AG66" s="48"/>
      <c r="AH66" s="48"/>
      <c r="AI66" s="48"/>
      <c r="AJ66" s="44"/>
      <c r="AK66" s="44"/>
      <c r="AL66" s="44"/>
    </row>
    <row r="67" spans="1:38" x14ac:dyDescent="0.25">
      <c r="A67" s="94"/>
      <c r="B67" s="265" t="s">
        <v>1026</v>
      </c>
      <c r="C67" s="266">
        <v>96130</v>
      </c>
      <c r="D67" s="265" t="s">
        <v>40</v>
      </c>
      <c r="E67" s="265" t="s">
        <v>1467</v>
      </c>
      <c r="F67" s="267" t="s">
        <v>41</v>
      </c>
      <c r="G67" s="277">
        <v>715.44</v>
      </c>
      <c r="H67" s="268">
        <v>15.79</v>
      </c>
      <c r="I67" s="287">
        <v>8.94</v>
      </c>
      <c r="J67" s="268">
        <v>11.34</v>
      </c>
      <c r="K67" s="292">
        <v>6.85</v>
      </c>
      <c r="L67" s="268">
        <v>8.69</v>
      </c>
      <c r="M67" s="268">
        <v>20.03</v>
      </c>
      <c r="N67" s="268">
        <v>8113.09</v>
      </c>
      <c r="O67" s="268">
        <v>6217.17</v>
      </c>
      <c r="P67" s="268">
        <v>14330.26</v>
      </c>
      <c r="Q67" s="269">
        <v>5.7000000000000002E-3</v>
      </c>
      <c r="R67" s="44"/>
      <c r="S67" s="49">
        <f t="shared" si="0"/>
        <v>11296.8</v>
      </c>
      <c r="T67" s="126"/>
      <c r="U67" s="48"/>
      <c r="V67" s="48"/>
      <c r="W67" s="48"/>
      <c r="X67" s="48"/>
      <c r="Y67" s="48"/>
      <c r="Z67" s="48"/>
      <c r="AA67" s="48"/>
      <c r="AB67" s="48"/>
      <c r="AC67" s="48"/>
      <c r="AD67" s="48"/>
      <c r="AE67" s="48"/>
      <c r="AF67" s="48"/>
      <c r="AG67" s="48"/>
      <c r="AH67" s="48"/>
      <c r="AI67" s="48"/>
      <c r="AJ67" s="44"/>
      <c r="AK67" s="44"/>
      <c r="AL67" s="44"/>
    </row>
    <row r="68" spans="1:38" x14ac:dyDescent="0.25">
      <c r="A68" s="94"/>
      <c r="B68" s="265" t="s">
        <v>1104</v>
      </c>
      <c r="C68" s="266" t="s">
        <v>968</v>
      </c>
      <c r="D68" s="265" t="s">
        <v>146</v>
      </c>
      <c r="E68" s="265" t="s">
        <v>969</v>
      </c>
      <c r="F68" s="267" t="s">
        <v>168</v>
      </c>
      <c r="G68" s="277">
        <v>53</v>
      </c>
      <c r="H68" s="268">
        <v>213.2</v>
      </c>
      <c r="I68" s="287">
        <v>20.23</v>
      </c>
      <c r="J68" s="268">
        <v>25.67</v>
      </c>
      <c r="K68" s="292">
        <v>192.97</v>
      </c>
      <c r="L68" s="268">
        <v>244.82</v>
      </c>
      <c r="M68" s="268">
        <v>270.49</v>
      </c>
      <c r="N68" s="268">
        <v>1360.51</v>
      </c>
      <c r="O68" s="268">
        <v>12975.46</v>
      </c>
      <c r="P68" s="268">
        <v>14335.97</v>
      </c>
      <c r="Q68" s="269">
        <v>5.7000000000000002E-3</v>
      </c>
      <c r="R68" s="44"/>
      <c r="S68" s="49">
        <f t="shared" si="0"/>
        <v>11299.6</v>
      </c>
      <c r="T68" s="126"/>
      <c r="U68" s="48"/>
      <c r="V68" s="48"/>
      <c r="W68" s="48"/>
      <c r="X68" s="48"/>
      <c r="Y68" s="48"/>
      <c r="Z68" s="48"/>
      <c r="AA68" s="48"/>
      <c r="AB68" s="48"/>
      <c r="AC68" s="48"/>
      <c r="AD68" s="48"/>
      <c r="AE68" s="48"/>
      <c r="AF68" s="48"/>
      <c r="AG68" s="48"/>
      <c r="AH68" s="48"/>
      <c r="AI68" s="48"/>
      <c r="AJ68" s="44"/>
      <c r="AK68" s="44"/>
      <c r="AL68" s="44"/>
    </row>
    <row r="69" spans="1:38" ht="27.6" x14ac:dyDescent="0.25">
      <c r="A69" s="94"/>
      <c r="B69" s="265" t="s">
        <v>99</v>
      </c>
      <c r="C69" s="266" t="s">
        <v>998</v>
      </c>
      <c r="D69" s="265" t="s">
        <v>100</v>
      </c>
      <c r="E69" s="265" t="s">
        <v>999</v>
      </c>
      <c r="F69" s="267" t="s">
        <v>59</v>
      </c>
      <c r="G69" s="277">
        <v>17.399999999999999</v>
      </c>
      <c r="H69" s="268">
        <v>624.83000000000004</v>
      </c>
      <c r="I69" s="287">
        <v>35.76</v>
      </c>
      <c r="J69" s="268">
        <v>45.37</v>
      </c>
      <c r="K69" s="292">
        <v>589.07000000000005</v>
      </c>
      <c r="L69" s="268">
        <v>747.35</v>
      </c>
      <c r="M69" s="268">
        <v>792.72</v>
      </c>
      <c r="N69" s="268">
        <v>789.44</v>
      </c>
      <c r="O69" s="268">
        <v>13003.89</v>
      </c>
      <c r="P69" s="268">
        <v>13793.33</v>
      </c>
      <c r="Q69" s="269">
        <v>5.4999999999999997E-3</v>
      </c>
      <c r="R69" s="44"/>
      <c r="S69" s="49">
        <f t="shared" si="0"/>
        <v>10872.04</v>
      </c>
      <c r="T69" s="126"/>
      <c r="U69" s="48"/>
      <c r="V69" s="48"/>
      <c r="W69" s="48"/>
      <c r="X69" s="48"/>
      <c r="Y69" s="48"/>
      <c r="Z69" s="48"/>
      <c r="AA69" s="48"/>
      <c r="AB69" s="48"/>
      <c r="AC69" s="48"/>
      <c r="AD69" s="48"/>
      <c r="AE69" s="48"/>
      <c r="AF69" s="48"/>
      <c r="AG69" s="48"/>
      <c r="AH69" s="48"/>
      <c r="AI69" s="48"/>
      <c r="AJ69" s="44"/>
      <c r="AK69" s="44"/>
      <c r="AL69" s="44"/>
    </row>
    <row r="70" spans="1:38" ht="27.6" x14ac:dyDescent="0.25">
      <c r="A70" s="94"/>
      <c r="B70" s="265" t="s">
        <v>813</v>
      </c>
      <c r="C70" s="266" t="s">
        <v>249</v>
      </c>
      <c r="D70" s="265" t="s">
        <v>40</v>
      </c>
      <c r="E70" s="265" t="s">
        <v>250</v>
      </c>
      <c r="F70" s="267" t="s">
        <v>41</v>
      </c>
      <c r="G70" s="277">
        <v>28.52</v>
      </c>
      <c r="H70" s="268">
        <v>384.6</v>
      </c>
      <c r="I70" s="287">
        <v>25.73</v>
      </c>
      <c r="J70" s="268">
        <v>32.64</v>
      </c>
      <c r="K70" s="292">
        <v>358.87</v>
      </c>
      <c r="L70" s="268">
        <v>455.3</v>
      </c>
      <c r="M70" s="268">
        <v>487.94</v>
      </c>
      <c r="N70" s="268">
        <v>930.89</v>
      </c>
      <c r="O70" s="268">
        <v>12985.16</v>
      </c>
      <c r="P70" s="268">
        <v>13916.05</v>
      </c>
      <c r="Q70" s="269">
        <v>5.4999999999999997E-3</v>
      </c>
      <c r="R70" s="44"/>
      <c r="S70" s="49">
        <f t="shared" si="0"/>
        <v>10968.79</v>
      </c>
      <c r="T70" s="126"/>
      <c r="U70" s="48"/>
      <c r="V70" s="48"/>
      <c r="W70" s="48"/>
      <c r="X70" s="48"/>
      <c r="Y70" s="48"/>
      <c r="Z70" s="48"/>
      <c r="AA70" s="48"/>
      <c r="AB70" s="48"/>
      <c r="AC70" s="48"/>
      <c r="AD70" s="48"/>
      <c r="AE70" s="48"/>
      <c r="AF70" s="48"/>
      <c r="AG70" s="48"/>
      <c r="AH70" s="48"/>
      <c r="AI70" s="48"/>
      <c r="AJ70" s="44"/>
      <c r="AK70" s="44"/>
      <c r="AL70" s="44"/>
    </row>
    <row r="71" spans="1:38" ht="27.6" x14ac:dyDescent="0.25">
      <c r="A71" s="94"/>
      <c r="B71" s="265" t="s">
        <v>61</v>
      </c>
      <c r="C71" s="266" t="s">
        <v>1345</v>
      </c>
      <c r="D71" s="265" t="s">
        <v>40</v>
      </c>
      <c r="E71" s="265" t="s">
        <v>1346</v>
      </c>
      <c r="F71" s="267" t="s">
        <v>59</v>
      </c>
      <c r="G71" s="277">
        <v>63.85</v>
      </c>
      <c r="H71" s="268">
        <v>169.39</v>
      </c>
      <c r="I71" s="287">
        <v>38.07</v>
      </c>
      <c r="J71" s="268">
        <v>48.3</v>
      </c>
      <c r="K71" s="292">
        <v>131.32</v>
      </c>
      <c r="L71" s="268">
        <v>166.61</v>
      </c>
      <c r="M71" s="268">
        <v>214.91</v>
      </c>
      <c r="N71" s="268">
        <v>3083.96</v>
      </c>
      <c r="O71" s="268">
        <v>10638.05</v>
      </c>
      <c r="P71" s="268">
        <v>13722.01</v>
      </c>
      <c r="Q71" s="269">
        <v>5.4000000000000003E-3</v>
      </c>
      <c r="R71" s="44"/>
      <c r="S71" s="49">
        <f t="shared" si="0"/>
        <v>10815.55</v>
      </c>
      <c r="T71" s="85"/>
      <c r="U71" s="48"/>
      <c r="V71" s="48"/>
      <c r="W71" s="48"/>
      <c r="X71" s="48"/>
      <c r="Y71" s="48"/>
      <c r="Z71" s="48"/>
      <c r="AA71" s="48"/>
      <c r="AB71" s="48"/>
      <c r="AC71" s="48"/>
      <c r="AD71" s="48"/>
      <c r="AE71" s="48"/>
      <c r="AF71" s="48"/>
      <c r="AG71" s="48"/>
      <c r="AH71" s="48"/>
      <c r="AI71" s="48"/>
      <c r="AJ71" s="44"/>
      <c r="AK71" s="44"/>
      <c r="AL71" s="44"/>
    </row>
    <row r="72" spans="1:38" ht="27.6" x14ac:dyDescent="0.25">
      <c r="A72" s="94"/>
      <c r="B72" s="265" t="s">
        <v>1108</v>
      </c>
      <c r="C72" s="266" t="s">
        <v>722</v>
      </c>
      <c r="D72" s="265" t="s">
        <v>40</v>
      </c>
      <c r="E72" s="265" t="s">
        <v>723</v>
      </c>
      <c r="F72" s="267" t="s">
        <v>44</v>
      </c>
      <c r="G72" s="277">
        <v>12</v>
      </c>
      <c r="H72" s="268">
        <v>897.64</v>
      </c>
      <c r="I72" s="287">
        <v>212.12</v>
      </c>
      <c r="J72" s="268">
        <v>269.12</v>
      </c>
      <c r="K72" s="292">
        <v>685.52</v>
      </c>
      <c r="L72" s="268">
        <v>869.72</v>
      </c>
      <c r="M72" s="268">
        <v>1138.8399999999999</v>
      </c>
      <c r="N72" s="268">
        <v>3229.44</v>
      </c>
      <c r="O72" s="268">
        <v>10436.64</v>
      </c>
      <c r="P72" s="268">
        <v>13666.08</v>
      </c>
      <c r="Q72" s="269">
        <v>5.4000000000000003E-3</v>
      </c>
      <c r="R72" s="44"/>
      <c r="S72" s="49">
        <f t="shared" si="0"/>
        <v>10771.68</v>
      </c>
      <c r="T72" s="126"/>
      <c r="U72" s="48"/>
      <c r="V72" s="48"/>
      <c r="W72" s="48"/>
      <c r="X72" s="48"/>
      <c r="Y72" s="48"/>
      <c r="Z72" s="48"/>
      <c r="AA72" s="48"/>
      <c r="AB72" s="48"/>
      <c r="AC72" s="48"/>
      <c r="AD72" s="48"/>
      <c r="AE72" s="48"/>
      <c r="AF72" s="48"/>
      <c r="AG72" s="48"/>
      <c r="AH72" s="48"/>
      <c r="AI72" s="48"/>
      <c r="AJ72" s="44"/>
      <c r="AK72" s="44"/>
      <c r="AL72" s="44"/>
    </row>
    <row r="73" spans="1:38" ht="41.4" x14ac:dyDescent="0.25">
      <c r="A73" s="94"/>
      <c r="B73" s="265" t="s">
        <v>1169</v>
      </c>
      <c r="C73" s="266">
        <v>92543</v>
      </c>
      <c r="D73" s="265" t="s">
        <v>40</v>
      </c>
      <c r="E73" s="265" t="s">
        <v>154</v>
      </c>
      <c r="F73" s="267" t="s">
        <v>41</v>
      </c>
      <c r="G73" s="277">
        <v>459.5</v>
      </c>
      <c r="H73" s="268">
        <v>22.87</v>
      </c>
      <c r="I73" s="287">
        <v>3.27</v>
      </c>
      <c r="J73" s="268">
        <v>4.1500000000000004</v>
      </c>
      <c r="K73" s="292">
        <v>19.600000000000001</v>
      </c>
      <c r="L73" s="268">
        <v>24.87</v>
      </c>
      <c r="M73" s="268">
        <v>29.02</v>
      </c>
      <c r="N73" s="268">
        <v>1906.93</v>
      </c>
      <c r="O73" s="268">
        <v>11427.77</v>
      </c>
      <c r="P73" s="268">
        <v>13334.7</v>
      </c>
      <c r="Q73" s="269">
        <v>5.3E-3</v>
      </c>
      <c r="R73" s="44"/>
      <c r="S73" s="49">
        <f t="shared" si="0"/>
        <v>10508.77</v>
      </c>
      <c r="T73" s="85"/>
      <c r="U73" s="48"/>
      <c r="V73" s="48"/>
      <c r="W73" s="48"/>
      <c r="X73" s="48"/>
      <c r="Y73" s="48"/>
      <c r="Z73" s="48"/>
      <c r="AA73" s="48"/>
      <c r="AB73" s="48"/>
      <c r="AC73" s="48"/>
      <c r="AD73" s="48"/>
      <c r="AE73" s="48"/>
      <c r="AF73" s="48"/>
      <c r="AG73" s="48"/>
      <c r="AH73" s="48"/>
      <c r="AI73" s="48"/>
      <c r="AJ73" s="44"/>
      <c r="AK73" s="44"/>
      <c r="AL73" s="44"/>
    </row>
    <row r="74" spans="1:38" x14ac:dyDescent="0.25">
      <c r="A74" s="94"/>
      <c r="B74" s="265" t="s">
        <v>643</v>
      </c>
      <c r="C74" s="266" t="s">
        <v>1158</v>
      </c>
      <c r="D74" s="265" t="s">
        <v>51</v>
      </c>
      <c r="E74" s="265" t="s">
        <v>1159</v>
      </c>
      <c r="F74" s="267" t="s">
        <v>44</v>
      </c>
      <c r="G74" s="277">
        <v>3</v>
      </c>
      <c r="H74" s="268">
        <v>3684.59</v>
      </c>
      <c r="I74" s="287">
        <v>172.81</v>
      </c>
      <c r="J74" s="268">
        <v>205.76</v>
      </c>
      <c r="K74" s="292">
        <v>3511.78</v>
      </c>
      <c r="L74" s="268">
        <v>4181.4799999999996</v>
      </c>
      <c r="M74" s="268">
        <v>4387.24</v>
      </c>
      <c r="N74" s="268">
        <v>617.28</v>
      </c>
      <c r="O74" s="268">
        <v>12544.44</v>
      </c>
      <c r="P74" s="268">
        <v>13161.72</v>
      </c>
      <c r="Q74" s="269">
        <v>5.1999999999999998E-3</v>
      </c>
      <c r="R74" s="44"/>
      <c r="S74" s="49">
        <f t="shared" si="0"/>
        <v>11053.77</v>
      </c>
      <c r="T74" s="126"/>
      <c r="U74" s="48"/>
      <c r="V74" s="48"/>
      <c r="W74" s="48"/>
      <c r="X74" s="48"/>
      <c r="Y74" s="48"/>
      <c r="Z74" s="48"/>
      <c r="AA74" s="48"/>
      <c r="AB74" s="48"/>
      <c r="AC74" s="48"/>
      <c r="AD74" s="48"/>
      <c r="AE74" s="48"/>
      <c r="AF74" s="48"/>
      <c r="AG74" s="48"/>
      <c r="AH74" s="48"/>
      <c r="AI74" s="48"/>
      <c r="AJ74" s="44"/>
      <c r="AK74" s="44"/>
      <c r="AL74" s="44"/>
    </row>
    <row r="75" spans="1:38" x14ac:dyDescent="0.25">
      <c r="A75" s="94"/>
      <c r="B75" s="265" t="s">
        <v>63</v>
      </c>
      <c r="C75" s="266" t="s">
        <v>64</v>
      </c>
      <c r="D75" s="265" t="s">
        <v>40</v>
      </c>
      <c r="E75" s="265" t="s">
        <v>988</v>
      </c>
      <c r="F75" s="267" t="s">
        <v>65</v>
      </c>
      <c r="G75" s="277">
        <v>536</v>
      </c>
      <c r="H75" s="268">
        <v>18.850000000000001</v>
      </c>
      <c r="I75" s="287">
        <v>7.25</v>
      </c>
      <c r="J75" s="268">
        <v>9.1999999999999993</v>
      </c>
      <c r="K75" s="292">
        <v>11.6</v>
      </c>
      <c r="L75" s="268">
        <v>14.72</v>
      </c>
      <c r="M75" s="268">
        <v>23.92</v>
      </c>
      <c r="N75" s="268">
        <v>4931.2</v>
      </c>
      <c r="O75" s="268">
        <v>7889.92</v>
      </c>
      <c r="P75" s="268">
        <v>12821.12</v>
      </c>
      <c r="Q75" s="269">
        <v>5.1000000000000004E-3</v>
      </c>
      <c r="R75" s="44"/>
      <c r="S75" s="49">
        <f t="shared" si="0"/>
        <v>10103.6</v>
      </c>
      <c r="T75" s="85"/>
      <c r="U75" s="48"/>
      <c r="V75" s="48"/>
      <c r="W75" s="48"/>
      <c r="X75" s="48"/>
      <c r="Y75" s="48"/>
      <c r="Z75" s="48"/>
      <c r="AA75" s="48"/>
      <c r="AB75" s="48"/>
      <c r="AC75" s="48"/>
      <c r="AD75" s="48"/>
      <c r="AE75" s="48"/>
      <c r="AF75" s="48"/>
      <c r="AG75" s="48"/>
      <c r="AH75" s="48"/>
      <c r="AI75" s="48"/>
      <c r="AJ75" s="44"/>
      <c r="AK75" s="44"/>
      <c r="AL75" s="44"/>
    </row>
    <row r="76" spans="1:38" x14ac:dyDescent="0.25">
      <c r="A76" s="94"/>
      <c r="B76" s="265" t="s">
        <v>806</v>
      </c>
      <c r="C76" s="266" t="s">
        <v>1352</v>
      </c>
      <c r="D76" s="265" t="s">
        <v>199</v>
      </c>
      <c r="E76" s="265" t="s">
        <v>1353</v>
      </c>
      <c r="F76" s="267" t="s">
        <v>41</v>
      </c>
      <c r="G76" s="277">
        <v>17.96</v>
      </c>
      <c r="H76" s="268">
        <v>544.69000000000005</v>
      </c>
      <c r="I76" s="287">
        <v>33.92</v>
      </c>
      <c r="J76" s="268">
        <v>43.03</v>
      </c>
      <c r="K76" s="292">
        <v>510.77</v>
      </c>
      <c r="L76" s="268">
        <v>648.01</v>
      </c>
      <c r="M76" s="268">
        <v>691.04</v>
      </c>
      <c r="N76" s="268">
        <v>772.82</v>
      </c>
      <c r="O76" s="268">
        <v>11638.26</v>
      </c>
      <c r="P76" s="268">
        <v>12411.08</v>
      </c>
      <c r="Q76" s="269">
        <v>4.8999999999999998E-3</v>
      </c>
      <c r="R76" s="44"/>
      <c r="S76" s="49">
        <f t="shared" si="0"/>
        <v>9782.6299999999992</v>
      </c>
      <c r="T76" s="126"/>
      <c r="U76" s="48"/>
      <c r="V76" s="48"/>
      <c r="W76" s="48"/>
      <c r="X76" s="48"/>
      <c r="Y76" s="48"/>
      <c r="Z76" s="48"/>
      <c r="AA76" s="48"/>
      <c r="AB76" s="48"/>
      <c r="AC76" s="48"/>
      <c r="AD76" s="48"/>
      <c r="AE76" s="48"/>
      <c r="AF76" s="48"/>
      <c r="AG76" s="48"/>
      <c r="AH76" s="48"/>
      <c r="AI76" s="48"/>
      <c r="AJ76" s="44"/>
      <c r="AK76" s="44"/>
      <c r="AL76" s="44"/>
    </row>
    <row r="77" spans="1:38" x14ac:dyDescent="0.25">
      <c r="A77" s="94"/>
      <c r="B77" s="265" t="s">
        <v>1228</v>
      </c>
      <c r="C77" s="266" t="s">
        <v>1097</v>
      </c>
      <c r="D77" s="265" t="s">
        <v>199</v>
      </c>
      <c r="E77" s="265" t="s">
        <v>1098</v>
      </c>
      <c r="F77" s="267" t="s">
        <v>168</v>
      </c>
      <c r="G77" s="277">
        <v>1</v>
      </c>
      <c r="H77" s="268">
        <v>10418.33</v>
      </c>
      <c r="I77" s="287">
        <v>101.36</v>
      </c>
      <c r="J77" s="268">
        <v>120.69</v>
      </c>
      <c r="K77" s="292">
        <v>10316.969999999999</v>
      </c>
      <c r="L77" s="268">
        <v>12284.42</v>
      </c>
      <c r="M77" s="268">
        <v>12405.11</v>
      </c>
      <c r="N77" s="268">
        <v>120.69</v>
      </c>
      <c r="O77" s="268">
        <v>12284.42</v>
      </c>
      <c r="P77" s="268">
        <v>12405.11</v>
      </c>
      <c r="Q77" s="269">
        <v>4.8999999999999998E-3</v>
      </c>
      <c r="R77" s="44"/>
      <c r="S77" s="49">
        <f t="shared" si="0"/>
        <v>10418.33</v>
      </c>
      <c r="T77" s="85"/>
      <c r="U77" s="48"/>
      <c r="V77" s="48"/>
      <c r="W77" s="48"/>
      <c r="X77" s="48"/>
      <c r="Y77" s="48"/>
      <c r="Z77" s="48"/>
      <c r="AA77" s="48"/>
      <c r="AB77" s="48"/>
      <c r="AC77" s="48"/>
      <c r="AD77" s="48"/>
      <c r="AE77" s="48"/>
      <c r="AF77" s="48"/>
      <c r="AG77" s="48"/>
      <c r="AH77" s="48"/>
      <c r="AI77" s="48"/>
      <c r="AJ77" s="44"/>
      <c r="AK77" s="44"/>
      <c r="AL77" s="44"/>
    </row>
    <row r="78" spans="1:38" x14ac:dyDescent="0.25">
      <c r="A78" s="94"/>
      <c r="B78" s="265" t="s">
        <v>1041</v>
      </c>
      <c r="C78" s="266" t="s">
        <v>836</v>
      </c>
      <c r="D78" s="265" t="s">
        <v>199</v>
      </c>
      <c r="E78" s="265" t="s">
        <v>837</v>
      </c>
      <c r="F78" s="267" t="s">
        <v>41</v>
      </c>
      <c r="G78" s="277">
        <v>7.14</v>
      </c>
      <c r="H78" s="268">
        <v>1333.12</v>
      </c>
      <c r="I78" s="287">
        <v>166.83</v>
      </c>
      <c r="J78" s="268">
        <v>211.66</v>
      </c>
      <c r="K78" s="292">
        <v>1166.29</v>
      </c>
      <c r="L78" s="268">
        <v>1479.67</v>
      </c>
      <c r="M78" s="268">
        <v>1691.33</v>
      </c>
      <c r="N78" s="268">
        <v>1511.25</v>
      </c>
      <c r="O78" s="268">
        <v>10564.84</v>
      </c>
      <c r="P78" s="268">
        <v>12076.09</v>
      </c>
      <c r="Q78" s="269">
        <v>4.7999999999999996E-3</v>
      </c>
      <c r="R78" s="44"/>
      <c r="S78" s="49">
        <f t="shared" si="0"/>
        <v>9518.48</v>
      </c>
      <c r="T78" s="126"/>
      <c r="U78" s="48"/>
      <c r="V78" s="48"/>
      <c r="W78" s="48"/>
      <c r="X78" s="48"/>
      <c r="Y78" s="48"/>
      <c r="Z78" s="48"/>
      <c r="AA78" s="48"/>
      <c r="AB78" s="48"/>
      <c r="AC78" s="48"/>
      <c r="AD78" s="48"/>
      <c r="AE78" s="48"/>
      <c r="AF78" s="48"/>
      <c r="AG78" s="48"/>
      <c r="AH78" s="48"/>
      <c r="AI78" s="48"/>
      <c r="AJ78" s="44"/>
      <c r="AK78" s="44"/>
      <c r="AL78" s="44"/>
    </row>
    <row r="79" spans="1:38" x14ac:dyDescent="0.25">
      <c r="A79" s="94"/>
      <c r="B79" s="265" t="s">
        <v>1028</v>
      </c>
      <c r="C79" s="266" t="s">
        <v>1176</v>
      </c>
      <c r="D79" s="265" t="s">
        <v>40</v>
      </c>
      <c r="E79" s="265" t="s">
        <v>1177</v>
      </c>
      <c r="F79" s="267" t="s">
        <v>41</v>
      </c>
      <c r="G79" s="277">
        <v>528.80999999999995</v>
      </c>
      <c r="H79" s="268">
        <v>17.78</v>
      </c>
      <c r="I79" s="287">
        <v>11.66</v>
      </c>
      <c r="J79" s="268">
        <v>14.79</v>
      </c>
      <c r="K79" s="292">
        <v>6.12</v>
      </c>
      <c r="L79" s="268">
        <v>7.76</v>
      </c>
      <c r="M79" s="268">
        <v>22.55</v>
      </c>
      <c r="N79" s="268">
        <v>7821.1</v>
      </c>
      <c r="O79" s="268">
        <v>4103.57</v>
      </c>
      <c r="P79" s="268">
        <v>11924.67</v>
      </c>
      <c r="Q79" s="269">
        <v>4.7000000000000002E-3</v>
      </c>
      <c r="R79" s="44"/>
      <c r="S79" s="49">
        <f t="shared" si="0"/>
        <v>9402.24</v>
      </c>
      <c r="T79" s="126"/>
      <c r="U79" s="48"/>
      <c r="V79" s="48"/>
      <c r="W79" s="48"/>
      <c r="X79" s="48"/>
      <c r="Y79" s="48"/>
      <c r="Z79" s="48"/>
      <c r="AA79" s="48"/>
      <c r="AB79" s="48"/>
      <c r="AC79" s="48"/>
      <c r="AD79" s="48"/>
      <c r="AE79" s="48"/>
      <c r="AF79" s="48"/>
      <c r="AG79" s="48"/>
      <c r="AH79" s="48"/>
      <c r="AI79" s="48"/>
      <c r="AJ79" s="44"/>
      <c r="AK79" s="44"/>
      <c r="AL79" s="44"/>
    </row>
    <row r="80" spans="1:38" x14ac:dyDescent="0.25">
      <c r="A80" s="94"/>
      <c r="B80" s="265" t="s">
        <v>524</v>
      </c>
      <c r="C80" s="266" t="s">
        <v>137</v>
      </c>
      <c r="D80" s="265" t="s">
        <v>40</v>
      </c>
      <c r="E80" s="265" t="s">
        <v>1006</v>
      </c>
      <c r="F80" s="267" t="s">
        <v>55</v>
      </c>
      <c r="G80" s="277">
        <v>134.25</v>
      </c>
      <c r="H80" s="268">
        <v>66.709999999999994</v>
      </c>
      <c r="I80" s="287">
        <v>14.58</v>
      </c>
      <c r="J80" s="268">
        <v>18.5</v>
      </c>
      <c r="K80" s="292">
        <v>52.13</v>
      </c>
      <c r="L80" s="268">
        <v>66.14</v>
      </c>
      <c r="M80" s="268">
        <v>84.64</v>
      </c>
      <c r="N80" s="268">
        <v>2483.63</v>
      </c>
      <c r="O80" s="268">
        <v>8879.2999999999993</v>
      </c>
      <c r="P80" s="268">
        <v>11362.93</v>
      </c>
      <c r="Q80" s="269">
        <v>4.4999999999999997E-3</v>
      </c>
      <c r="R80" s="44"/>
      <c r="S80" s="49">
        <f t="shared" si="0"/>
        <v>8955.82</v>
      </c>
      <c r="T80" s="85"/>
      <c r="U80" s="48"/>
      <c r="V80" s="48"/>
      <c r="W80" s="48"/>
      <c r="X80" s="48"/>
      <c r="Y80" s="48"/>
      <c r="Z80" s="48"/>
      <c r="AA80" s="48"/>
      <c r="AB80" s="48"/>
      <c r="AC80" s="48"/>
      <c r="AD80" s="48"/>
      <c r="AE80" s="48"/>
      <c r="AF80" s="48"/>
      <c r="AG80" s="48"/>
      <c r="AH80" s="48"/>
      <c r="AI80" s="48"/>
      <c r="AJ80" s="44"/>
      <c r="AK80" s="44"/>
      <c r="AL80" s="44"/>
    </row>
    <row r="81" spans="1:38" ht="27.6" x14ac:dyDescent="0.25">
      <c r="A81" s="94"/>
      <c r="B81" s="265" t="s">
        <v>1069</v>
      </c>
      <c r="C81" s="266" t="s">
        <v>872</v>
      </c>
      <c r="D81" s="265" t="s">
        <v>40</v>
      </c>
      <c r="E81" s="265" t="s">
        <v>873</v>
      </c>
      <c r="F81" s="267" t="s">
        <v>55</v>
      </c>
      <c r="G81" s="277">
        <v>158.19999999999999</v>
      </c>
      <c r="H81" s="268">
        <v>57.18</v>
      </c>
      <c r="I81" s="287">
        <v>2.8</v>
      </c>
      <c r="J81" s="268">
        <v>3.55</v>
      </c>
      <c r="K81" s="292">
        <v>54.38</v>
      </c>
      <c r="L81" s="268">
        <v>68.989999999999995</v>
      </c>
      <c r="M81" s="268">
        <v>72.540000000000006</v>
      </c>
      <c r="N81" s="268">
        <v>561.61</v>
      </c>
      <c r="O81" s="268">
        <v>10914.22</v>
      </c>
      <c r="P81" s="268">
        <v>11475.83</v>
      </c>
      <c r="Q81" s="269">
        <v>4.4999999999999997E-3</v>
      </c>
      <c r="R81" s="44"/>
      <c r="S81" s="49">
        <f t="shared" si="0"/>
        <v>9045.8799999999992</v>
      </c>
      <c r="T81" s="126"/>
      <c r="U81" s="48"/>
      <c r="V81" s="48"/>
      <c r="W81" s="48"/>
      <c r="X81" s="48"/>
      <c r="Y81" s="48"/>
      <c r="Z81" s="48"/>
      <c r="AA81" s="48"/>
      <c r="AB81" s="48"/>
      <c r="AC81" s="48"/>
      <c r="AD81" s="48"/>
      <c r="AE81" s="48"/>
      <c r="AF81" s="48"/>
      <c r="AG81" s="48"/>
      <c r="AH81" s="48"/>
      <c r="AI81" s="48"/>
      <c r="AJ81" s="44"/>
      <c r="AK81" s="44"/>
      <c r="AL81" s="44"/>
    </row>
    <row r="82" spans="1:38" ht="27.6" x14ac:dyDescent="0.25">
      <c r="A82" s="94"/>
      <c r="B82" s="265" t="s">
        <v>1070</v>
      </c>
      <c r="C82" s="266" t="s">
        <v>1504</v>
      </c>
      <c r="D82" s="265" t="s">
        <v>40</v>
      </c>
      <c r="E82" s="265" t="s">
        <v>1505</v>
      </c>
      <c r="F82" s="267" t="s">
        <v>55</v>
      </c>
      <c r="G82" s="277">
        <v>88</v>
      </c>
      <c r="H82" s="268">
        <v>102.6</v>
      </c>
      <c r="I82" s="287">
        <v>4.1500000000000004</v>
      </c>
      <c r="J82" s="268">
        <v>5.27</v>
      </c>
      <c r="K82" s="292">
        <v>98.45</v>
      </c>
      <c r="L82" s="268">
        <v>124.9</v>
      </c>
      <c r="M82" s="268">
        <v>130.16999999999999</v>
      </c>
      <c r="N82" s="268">
        <v>463.76</v>
      </c>
      <c r="O82" s="268">
        <v>10991.2</v>
      </c>
      <c r="P82" s="268">
        <v>11454.96</v>
      </c>
      <c r="Q82" s="269">
        <v>4.4999999999999997E-3</v>
      </c>
      <c r="R82" s="44"/>
      <c r="S82" s="49">
        <f t="shared" si="0"/>
        <v>9028.7999999999993</v>
      </c>
      <c r="T82" s="126"/>
      <c r="U82" s="48"/>
      <c r="V82" s="48"/>
      <c r="W82" s="48"/>
      <c r="X82" s="48"/>
      <c r="Y82" s="48"/>
      <c r="Z82" s="48"/>
      <c r="AA82" s="48"/>
      <c r="AB82" s="48"/>
      <c r="AC82" s="48"/>
      <c r="AD82" s="48"/>
      <c r="AE82" s="48"/>
      <c r="AF82" s="48"/>
      <c r="AG82" s="48"/>
      <c r="AH82" s="48"/>
      <c r="AI82" s="48"/>
      <c r="AJ82" s="44"/>
      <c r="AK82" s="44"/>
      <c r="AL82" s="44"/>
    </row>
    <row r="83" spans="1:38" ht="41.4" x14ac:dyDescent="0.25">
      <c r="A83" s="94"/>
      <c r="B83" s="265" t="s">
        <v>814</v>
      </c>
      <c r="C83" s="266" t="s">
        <v>1366</v>
      </c>
      <c r="D83" s="265" t="s">
        <v>40</v>
      </c>
      <c r="E83" s="265" t="s">
        <v>1367</v>
      </c>
      <c r="F83" s="267" t="s">
        <v>41</v>
      </c>
      <c r="G83" s="277">
        <v>39.93</v>
      </c>
      <c r="H83" s="268">
        <v>221.3</v>
      </c>
      <c r="I83" s="287">
        <v>7.93</v>
      </c>
      <c r="J83" s="268">
        <v>10.06</v>
      </c>
      <c r="K83" s="292">
        <v>213.37</v>
      </c>
      <c r="L83" s="268">
        <v>270.7</v>
      </c>
      <c r="M83" s="268">
        <v>280.76</v>
      </c>
      <c r="N83" s="268">
        <v>401.7</v>
      </c>
      <c r="O83" s="268">
        <v>10809.05</v>
      </c>
      <c r="P83" s="268">
        <v>11210.75</v>
      </c>
      <c r="Q83" s="269">
        <v>4.4000000000000003E-3</v>
      </c>
      <c r="R83" s="44"/>
      <c r="S83" s="49">
        <f t="shared" si="0"/>
        <v>8836.51</v>
      </c>
      <c r="T83" s="85"/>
      <c r="U83" s="48"/>
      <c r="V83" s="48"/>
      <c r="W83" s="48"/>
      <c r="X83" s="48"/>
      <c r="Y83" s="48"/>
      <c r="Z83" s="48"/>
      <c r="AA83" s="48"/>
      <c r="AB83" s="48"/>
      <c r="AC83" s="48"/>
      <c r="AD83" s="48"/>
      <c r="AE83" s="48"/>
      <c r="AF83" s="48"/>
      <c r="AG83" s="48"/>
      <c r="AH83" s="48"/>
      <c r="AI83" s="48"/>
      <c r="AJ83" s="44"/>
      <c r="AK83" s="44"/>
      <c r="AL83" s="44"/>
    </row>
    <row r="84" spans="1:38" ht="27.6" x14ac:dyDescent="0.25">
      <c r="A84" s="94"/>
      <c r="B84" s="265" t="s">
        <v>149</v>
      </c>
      <c r="C84" s="266" t="s">
        <v>554</v>
      </c>
      <c r="D84" s="265" t="s">
        <v>40</v>
      </c>
      <c r="E84" s="265" t="s">
        <v>555</v>
      </c>
      <c r="F84" s="267" t="s">
        <v>41</v>
      </c>
      <c r="G84" s="277">
        <v>158.86000000000001</v>
      </c>
      <c r="H84" s="268">
        <v>53.58</v>
      </c>
      <c r="I84" s="287">
        <v>21.6</v>
      </c>
      <c r="J84" s="268">
        <v>27.4</v>
      </c>
      <c r="K84" s="292">
        <v>31.98</v>
      </c>
      <c r="L84" s="268">
        <v>40.57</v>
      </c>
      <c r="M84" s="268">
        <v>67.97</v>
      </c>
      <c r="N84" s="268">
        <v>4352.76</v>
      </c>
      <c r="O84" s="268">
        <v>6444.95</v>
      </c>
      <c r="P84" s="268">
        <v>10797.71</v>
      </c>
      <c r="Q84" s="269">
        <v>4.3E-3</v>
      </c>
      <c r="R84" s="44"/>
      <c r="S84" s="49">
        <f t="shared" si="0"/>
        <v>8511.7199999999993</v>
      </c>
      <c r="T84" s="126"/>
      <c r="U84" s="48"/>
      <c r="V84" s="48"/>
      <c r="W84" s="48"/>
      <c r="X84" s="48"/>
      <c r="Y84" s="48"/>
      <c r="Z84" s="48"/>
      <c r="AA84" s="48"/>
      <c r="AB84" s="48"/>
      <c r="AC84" s="48"/>
      <c r="AD84" s="48"/>
      <c r="AE84" s="48"/>
      <c r="AF84" s="48"/>
      <c r="AG84" s="48"/>
      <c r="AH84" s="48"/>
      <c r="AI84" s="48"/>
      <c r="AJ84" s="44"/>
      <c r="AK84" s="44"/>
      <c r="AL84" s="44"/>
    </row>
    <row r="85" spans="1:38" ht="27.6" x14ac:dyDescent="0.25">
      <c r="A85" s="94"/>
      <c r="B85" s="265" t="s">
        <v>808</v>
      </c>
      <c r="C85" s="266" t="s">
        <v>247</v>
      </c>
      <c r="D85" s="265" t="s">
        <v>40</v>
      </c>
      <c r="E85" s="265" t="s">
        <v>248</v>
      </c>
      <c r="F85" s="267" t="s">
        <v>41</v>
      </c>
      <c r="G85" s="277">
        <v>14.07</v>
      </c>
      <c r="H85" s="268">
        <v>587.91999999999996</v>
      </c>
      <c r="I85" s="287">
        <v>9.0500000000000007</v>
      </c>
      <c r="J85" s="268">
        <v>11.48</v>
      </c>
      <c r="K85" s="292">
        <v>578.87</v>
      </c>
      <c r="L85" s="268">
        <v>734.41</v>
      </c>
      <c r="M85" s="268">
        <v>745.89</v>
      </c>
      <c r="N85" s="268">
        <v>161.52000000000001</v>
      </c>
      <c r="O85" s="268">
        <v>10333.15</v>
      </c>
      <c r="P85" s="268">
        <v>10494.67</v>
      </c>
      <c r="Q85" s="269">
        <v>4.1999999999999997E-3</v>
      </c>
      <c r="R85" s="44"/>
      <c r="S85" s="49">
        <f t="shared" ref="S85:S148" si="1">G85*H85</f>
        <v>8272.0300000000007</v>
      </c>
      <c r="T85" s="85"/>
      <c r="U85" s="48"/>
      <c r="V85" s="48"/>
      <c r="W85" s="48"/>
      <c r="X85" s="48"/>
      <c r="Y85" s="48"/>
      <c r="Z85" s="48"/>
      <c r="AA85" s="48"/>
      <c r="AB85" s="48"/>
      <c r="AC85" s="48"/>
      <c r="AD85" s="48"/>
      <c r="AE85" s="48"/>
      <c r="AF85" s="48"/>
      <c r="AG85" s="48"/>
      <c r="AH85" s="48"/>
      <c r="AI85" s="48"/>
      <c r="AJ85" s="44"/>
      <c r="AK85" s="44"/>
      <c r="AL85" s="44"/>
    </row>
    <row r="86" spans="1:38" x14ac:dyDescent="0.25">
      <c r="A86" s="94"/>
      <c r="B86" s="265" t="s">
        <v>811</v>
      </c>
      <c r="C86" s="266" t="s">
        <v>1460</v>
      </c>
      <c r="D86" s="265" t="s">
        <v>199</v>
      </c>
      <c r="E86" s="265" t="s">
        <v>1461</v>
      </c>
      <c r="F86" s="267" t="s">
        <v>41</v>
      </c>
      <c r="G86" s="277">
        <v>8.08</v>
      </c>
      <c r="H86" s="268">
        <v>1036.18</v>
      </c>
      <c r="I86" s="287">
        <v>59.75</v>
      </c>
      <c r="J86" s="268">
        <v>75.8</v>
      </c>
      <c r="K86" s="292">
        <v>976.43</v>
      </c>
      <c r="L86" s="268">
        <v>1238.8</v>
      </c>
      <c r="M86" s="268">
        <v>1314.6</v>
      </c>
      <c r="N86" s="268">
        <v>612.46</v>
      </c>
      <c r="O86" s="268">
        <v>10009.5</v>
      </c>
      <c r="P86" s="268">
        <v>10621.96</v>
      </c>
      <c r="Q86" s="269">
        <v>4.1999999999999997E-3</v>
      </c>
      <c r="R86" s="44"/>
      <c r="S86" s="49">
        <f t="shared" si="1"/>
        <v>8372.33</v>
      </c>
      <c r="T86" s="126"/>
      <c r="U86" s="48"/>
      <c r="V86" s="48"/>
      <c r="W86" s="48"/>
      <c r="X86" s="48"/>
      <c r="Y86" s="48"/>
      <c r="Z86" s="48"/>
      <c r="AA86" s="48"/>
      <c r="AB86" s="48"/>
      <c r="AC86" s="48"/>
      <c r="AD86" s="48"/>
      <c r="AE86" s="48"/>
      <c r="AF86" s="48"/>
      <c r="AG86" s="48"/>
      <c r="AH86" s="48"/>
      <c r="AI86" s="48"/>
      <c r="AJ86" s="44"/>
      <c r="AK86" s="44"/>
      <c r="AL86" s="44"/>
    </row>
    <row r="87" spans="1:38" ht="27.6" x14ac:dyDescent="0.25">
      <c r="A87" s="94"/>
      <c r="B87" s="265" t="s">
        <v>1077</v>
      </c>
      <c r="C87" s="266" t="s">
        <v>208</v>
      </c>
      <c r="D87" s="265" t="s">
        <v>40</v>
      </c>
      <c r="E87" s="265" t="s">
        <v>209</v>
      </c>
      <c r="F87" s="267" t="s">
        <v>55</v>
      </c>
      <c r="G87" s="277">
        <v>2895.1</v>
      </c>
      <c r="H87" s="268">
        <v>2.89</v>
      </c>
      <c r="I87" s="287">
        <v>0.77</v>
      </c>
      <c r="J87" s="268">
        <v>0.98</v>
      </c>
      <c r="K87" s="292">
        <v>2.12</v>
      </c>
      <c r="L87" s="268">
        <v>2.69</v>
      </c>
      <c r="M87" s="268">
        <v>3.67</v>
      </c>
      <c r="N87" s="268">
        <v>2837.2</v>
      </c>
      <c r="O87" s="268">
        <v>7787.82</v>
      </c>
      <c r="P87" s="268">
        <v>10625.02</v>
      </c>
      <c r="Q87" s="269">
        <v>4.1999999999999997E-3</v>
      </c>
      <c r="R87" s="44"/>
      <c r="S87" s="49">
        <f t="shared" si="1"/>
        <v>8366.84</v>
      </c>
      <c r="T87" s="85"/>
      <c r="U87" s="48"/>
      <c r="V87" s="48"/>
      <c r="W87" s="48"/>
      <c r="X87" s="48"/>
      <c r="Y87" s="48"/>
      <c r="Z87" s="48"/>
      <c r="AA87" s="48"/>
      <c r="AB87" s="48"/>
      <c r="AC87" s="48"/>
      <c r="AD87" s="48"/>
      <c r="AE87" s="48"/>
      <c r="AF87" s="48"/>
      <c r="AG87" s="48"/>
      <c r="AH87" s="48"/>
      <c r="AI87" s="48"/>
      <c r="AJ87" s="44"/>
      <c r="AK87" s="44"/>
      <c r="AL87" s="44"/>
    </row>
    <row r="88" spans="1:38" ht="27.6" x14ac:dyDescent="0.25">
      <c r="A88" s="94"/>
      <c r="B88" s="265" t="s">
        <v>846</v>
      </c>
      <c r="C88" s="266" t="s">
        <v>724</v>
      </c>
      <c r="D88" s="265" t="s">
        <v>199</v>
      </c>
      <c r="E88" s="265" t="s">
        <v>773</v>
      </c>
      <c r="F88" s="267" t="s">
        <v>168</v>
      </c>
      <c r="G88" s="277">
        <v>26</v>
      </c>
      <c r="H88" s="268">
        <v>322.36</v>
      </c>
      <c r="I88" s="287">
        <v>18.260000000000002</v>
      </c>
      <c r="J88" s="268">
        <v>23.17</v>
      </c>
      <c r="K88" s="292">
        <v>304.10000000000002</v>
      </c>
      <c r="L88" s="268">
        <v>385.81</v>
      </c>
      <c r="M88" s="268">
        <v>408.98</v>
      </c>
      <c r="N88" s="268">
        <v>602.41999999999996</v>
      </c>
      <c r="O88" s="268">
        <v>10031.06</v>
      </c>
      <c r="P88" s="268">
        <v>10633.48</v>
      </c>
      <c r="Q88" s="269">
        <v>4.1999999999999997E-3</v>
      </c>
      <c r="R88" s="44"/>
      <c r="S88" s="49">
        <f t="shared" si="1"/>
        <v>8381.36</v>
      </c>
      <c r="T88" s="126"/>
      <c r="U88" s="48"/>
      <c r="V88" s="48"/>
      <c r="W88" s="48"/>
      <c r="X88" s="48"/>
      <c r="Y88" s="48"/>
      <c r="Z88" s="48"/>
      <c r="AA88" s="48"/>
      <c r="AB88" s="48"/>
      <c r="AC88" s="48"/>
      <c r="AD88" s="48"/>
      <c r="AE88" s="48"/>
      <c r="AF88" s="48"/>
      <c r="AG88" s="48"/>
      <c r="AH88" s="48"/>
      <c r="AI88" s="48"/>
      <c r="AJ88" s="44"/>
      <c r="AK88" s="44"/>
      <c r="AL88" s="44"/>
    </row>
    <row r="89" spans="1:38" ht="27.6" x14ac:dyDescent="0.25">
      <c r="A89" s="94"/>
      <c r="B89" s="265" t="s">
        <v>53</v>
      </c>
      <c r="C89" s="266" t="s">
        <v>54</v>
      </c>
      <c r="D89" s="265" t="s">
        <v>40</v>
      </c>
      <c r="E89" s="265" t="s">
        <v>987</v>
      </c>
      <c r="F89" s="267" t="s">
        <v>55</v>
      </c>
      <c r="G89" s="277">
        <v>135.65</v>
      </c>
      <c r="H89" s="268">
        <v>59.16</v>
      </c>
      <c r="I89" s="287">
        <v>24.98</v>
      </c>
      <c r="J89" s="268">
        <v>31.69</v>
      </c>
      <c r="K89" s="292">
        <v>34.18</v>
      </c>
      <c r="L89" s="268">
        <v>43.36</v>
      </c>
      <c r="M89" s="268">
        <v>75.05</v>
      </c>
      <c r="N89" s="268">
        <v>4298.75</v>
      </c>
      <c r="O89" s="268">
        <v>5881.78</v>
      </c>
      <c r="P89" s="268">
        <v>10180.530000000001</v>
      </c>
      <c r="Q89" s="269">
        <v>4.0000000000000001E-3</v>
      </c>
      <c r="R89" s="44"/>
      <c r="S89" s="49">
        <f t="shared" si="1"/>
        <v>8025.05</v>
      </c>
      <c r="T89" s="85"/>
      <c r="U89" s="48"/>
      <c r="V89" s="48"/>
      <c r="W89" s="48"/>
      <c r="X89" s="48"/>
      <c r="Y89" s="48"/>
      <c r="Z89" s="48"/>
      <c r="AA89" s="48"/>
      <c r="AB89" s="48"/>
      <c r="AC89" s="48"/>
      <c r="AD89" s="48"/>
      <c r="AE89" s="48"/>
      <c r="AF89" s="48"/>
      <c r="AG89" s="48"/>
      <c r="AH89" s="48"/>
      <c r="AI89" s="48"/>
      <c r="AJ89" s="44"/>
      <c r="AK89" s="44"/>
      <c r="AL89" s="44"/>
    </row>
    <row r="90" spans="1:38" ht="27.6" x14ac:dyDescent="0.25">
      <c r="A90" s="94"/>
      <c r="B90" s="265" t="s">
        <v>1564</v>
      </c>
      <c r="C90" s="266" t="s">
        <v>725</v>
      </c>
      <c r="D90" s="265" t="s">
        <v>199</v>
      </c>
      <c r="E90" s="265" t="s">
        <v>774</v>
      </c>
      <c r="F90" s="267" t="s">
        <v>168</v>
      </c>
      <c r="G90" s="277">
        <v>34</v>
      </c>
      <c r="H90" s="268">
        <v>236.86</v>
      </c>
      <c r="I90" s="287">
        <v>14.54</v>
      </c>
      <c r="J90" s="268">
        <v>18.45</v>
      </c>
      <c r="K90" s="292">
        <v>222.32</v>
      </c>
      <c r="L90" s="268">
        <v>282.06</v>
      </c>
      <c r="M90" s="268">
        <v>300.51</v>
      </c>
      <c r="N90" s="268">
        <v>627.29999999999995</v>
      </c>
      <c r="O90" s="268">
        <v>9590.0400000000009</v>
      </c>
      <c r="P90" s="268">
        <v>10217.34</v>
      </c>
      <c r="Q90" s="269">
        <v>4.0000000000000001E-3</v>
      </c>
      <c r="R90" s="44"/>
      <c r="S90" s="49">
        <f t="shared" si="1"/>
        <v>8053.24</v>
      </c>
      <c r="T90" s="126"/>
      <c r="U90" s="48"/>
      <c r="V90" s="48"/>
      <c r="W90" s="48"/>
      <c r="X90" s="48"/>
      <c r="Y90" s="48"/>
      <c r="Z90" s="48"/>
      <c r="AA90" s="48"/>
      <c r="AB90" s="48"/>
      <c r="AC90" s="48"/>
      <c r="AD90" s="48"/>
      <c r="AE90" s="48"/>
      <c r="AF90" s="48"/>
      <c r="AG90" s="48"/>
      <c r="AH90" s="48"/>
      <c r="AI90" s="48"/>
      <c r="AJ90" s="44"/>
      <c r="AK90" s="44"/>
      <c r="AL90" s="44"/>
    </row>
    <row r="91" spans="1:38" ht="27.6" x14ac:dyDescent="0.25">
      <c r="A91" s="94"/>
      <c r="B91" s="265" t="s">
        <v>111</v>
      </c>
      <c r="C91" s="266" t="s">
        <v>88</v>
      </c>
      <c r="D91" s="265" t="s">
        <v>40</v>
      </c>
      <c r="E91" s="265" t="s">
        <v>89</v>
      </c>
      <c r="F91" s="267" t="s">
        <v>65</v>
      </c>
      <c r="G91" s="277">
        <v>668.5</v>
      </c>
      <c r="H91" s="268">
        <v>11.51</v>
      </c>
      <c r="I91" s="287">
        <v>0.96</v>
      </c>
      <c r="J91" s="268">
        <v>1.22</v>
      </c>
      <c r="K91" s="292">
        <v>10.55</v>
      </c>
      <c r="L91" s="268">
        <v>13.38</v>
      </c>
      <c r="M91" s="268">
        <v>14.6</v>
      </c>
      <c r="N91" s="268">
        <v>815.57</v>
      </c>
      <c r="O91" s="268">
        <v>8944.5300000000007</v>
      </c>
      <c r="P91" s="268">
        <v>9760.1</v>
      </c>
      <c r="Q91" s="269">
        <v>3.8999999999999998E-3</v>
      </c>
      <c r="R91" s="44"/>
      <c r="S91" s="49">
        <f t="shared" si="1"/>
        <v>7694.44</v>
      </c>
      <c r="T91" s="126"/>
      <c r="U91" s="48"/>
      <c r="V91" s="48"/>
      <c r="W91" s="48"/>
      <c r="X91" s="48"/>
      <c r="Y91" s="48"/>
      <c r="Z91" s="48"/>
      <c r="AA91" s="48"/>
      <c r="AB91" s="48"/>
      <c r="AC91" s="48"/>
      <c r="AD91" s="48"/>
      <c r="AE91" s="48"/>
      <c r="AF91" s="48"/>
      <c r="AG91" s="48"/>
      <c r="AH91" s="48"/>
      <c r="AI91" s="48"/>
      <c r="AJ91" s="44"/>
      <c r="AK91" s="44"/>
      <c r="AL91" s="44"/>
    </row>
    <row r="92" spans="1:38" x14ac:dyDescent="0.25">
      <c r="A92" s="94"/>
      <c r="B92" s="265" t="s">
        <v>595</v>
      </c>
      <c r="C92" s="266" t="s">
        <v>1145</v>
      </c>
      <c r="D92" s="265" t="s">
        <v>51</v>
      </c>
      <c r="E92" s="265" t="s">
        <v>1146</v>
      </c>
      <c r="F92" s="267" t="s">
        <v>44</v>
      </c>
      <c r="G92" s="277">
        <v>20</v>
      </c>
      <c r="H92" s="268">
        <v>388.4</v>
      </c>
      <c r="I92" s="287">
        <v>42.62</v>
      </c>
      <c r="J92" s="268">
        <v>54.07</v>
      </c>
      <c r="K92" s="292">
        <v>345.78</v>
      </c>
      <c r="L92" s="268">
        <v>438.69</v>
      </c>
      <c r="M92" s="268">
        <v>492.76</v>
      </c>
      <c r="N92" s="268">
        <v>1081.4000000000001</v>
      </c>
      <c r="O92" s="268">
        <v>8773.7999999999993</v>
      </c>
      <c r="P92" s="268">
        <v>9855.2000000000007</v>
      </c>
      <c r="Q92" s="269">
        <v>3.8999999999999998E-3</v>
      </c>
      <c r="R92" s="44"/>
      <c r="S92" s="49">
        <f t="shared" si="1"/>
        <v>7768</v>
      </c>
      <c r="T92" s="85"/>
      <c r="U92" s="48"/>
      <c r="V92" s="48"/>
      <c r="W92" s="48"/>
      <c r="X92" s="48"/>
      <c r="Y92" s="48"/>
      <c r="Z92" s="48"/>
      <c r="AA92" s="48"/>
      <c r="AB92" s="48"/>
      <c r="AC92" s="48"/>
      <c r="AD92" s="48"/>
      <c r="AE92" s="48"/>
      <c r="AF92" s="48"/>
      <c r="AG92" s="48"/>
      <c r="AH92" s="48"/>
      <c r="AI92" s="48"/>
      <c r="AJ92" s="44"/>
      <c r="AK92" s="44"/>
      <c r="AL92" s="44"/>
    </row>
    <row r="93" spans="1:38" x14ac:dyDescent="0.25">
      <c r="A93" s="94"/>
      <c r="B93" s="265" t="s">
        <v>809</v>
      </c>
      <c r="C93" s="266" t="s">
        <v>1016</v>
      </c>
      <c r="D93" s="265" t="s">
        <v>199</v>
      </c>
      <c r="E93" s="265" t="s">
        <v>1017</v>
      </c>
      <c r="F93" s="267" t="s">
        <v>41</v>
      </c>
      <c r="G93" s="277">
        <v>6.93</v>
      </c>
      <c r="H93" s="268">
        <v>1097.54</v>
      </c>
      <c r="I93" s="287">
        <v>123.54</v>
      </c>
      <c r="J93" s="268">
        <v>156.74</v>
      </c>
      <c r="K93" s="292">
        <v>974</v>
      </c>
      <c r="L93" s="268">
        <v>1235.71</v>
      </c>
      <c r="M93" s="268">
        <v>1392.45</v>
      </c>
      <c r="N93" s="268">
        <v>1086.21</v>
      </c>
      <c r="O93" s="268">
        <v>8563.4699999999993</v>
      </c>
      <c r="P93" s="268">
        <v>9649.68</v>
      </c>
      <c r="Q93" s="269">
        <v>3.8E-3</v>
      </c>
      <c r="R93" s="44"/>
      <c r="S93" s="49">
        <f t="shared" si="1"/>
        <v>7605.95</v>
      </c>
      <c r="T93" s="126"/>
      <c r="U93" s="48"/>
      <c r="V93" s="48"/>
      <c r="W93" s="48"/>
      <c r="X93" s="48"/>
      <c r="Y93" s="48"/>
      <c r="Z93" s="48"/>
      <c r="AA93" s="48"/>
      <c r="AB93" s="48"/>
      <c r="AC93" s="48"/>
      <c r="AD93" s="48"/>
      <c r="AE93" s="48"/>
      <c r="AF93" s="48"/>
      <c r="AG93" s="48"/>
      <c r="AH93" s="48"/>
      <c r="AI93" s="48"/>
      <c r="AJ93" s="44"/>
      <c r="AK93" s="44"/>
      <c r="AL93" s="44"/>
    </row>
    <row r="94" spans="1:38" x14ac:dyDescent="0.25">
      <c r="A94" s="94"/>
      <c r="B94" s="265" t="s">
        <v>569</v>
      </c>
      <c r="C94" s="266" t="s">
        <v>238</v>
      </c>
      <c r="D94" s="265" t="s">
        <v>146</v>
      </c>
      <c r="E94" s="265" t="s">
        <v>239</v>
      </c>
      <c r="F94" s="267" t="s">
        <v>240</v>
      </c>
      <c r="G94" s="277">
        <v>371.25</v>
      </c>
      <c r="H94" s="268">
        <v>20.36</v>
      </c>
      <c r="I94" s="287">
        <v>0</v>
      </c>
      <c r="J94" s="268">
        <v>0</v>
      </c>
      <c r="K94" s="292">
        <v>20.36</v>
      </c>
      <c r="L94" s="268">
        <v>25.83</v>
      </c>
      <c r="M94" s="268">
        <v>25.83</v>
      </c>
      <c r="N94" s="268">
        <v>0</v>
      </c>
      <c r="O94" s="268">
        <v>9589.39</v>
      </c>
      <c r="P94" s="268">
        <v>9589.39</v>
      </c>
      <c r="Q94" s="269">
        <v>3.8E-3</v>
      </c>
      <c r="R94" s="44"/>
      <c r="S94" s="49">
        <f t="shared" si="1"/>
        <v>7558.65</v>
      </c>
      <c r="T94" s="126"/>
      <c r="U94" s="48"/>
      <c r="V94" s="48"/>
      <c r="W94" s="48"/>
      <c r="X94" s="48"/>
      <c r="Y94" s="48"/>
      <c r="Z94" s="48"/>
      <c r="AA94" s="48"/>
      <c r="AB94" s="48"/>
      <c r="AC94" s="48"/>
      <c r="AD94" s="48"/>
      <c r="AE94" s="48"/>
      <c r="AF94" s="48"/>
      <c r="AG94" s="48"/>
      <c r="AH94" s="48"/>
      <c r="AI94" s="48"/>
      <c r="AJ94" s="44"/>
      <c r="AK94" s="44"/>
      <c r="AL94" s="44"/>
    </row>
    <row r="95" spans="1:38" x14ac:dyDescent="0.25">
      <c r="A95" s="94"/>
      <c r="B95" s="265" t="s">
        <v>1117</v>
      </c>
      <c r="C95" s="266" t="s">
        <v>226</v>
      </c>
      <c r="D95" s="265" t="s">
        <v>51</v>
      </c>
      <c r="E95" s="265" t="s">
        <v>227</v>
      </c>
      <c r="F95" s="267" t="s">
        <v>55</v>
      </c>
      <c r="G95" s="277">
        <v>132.5</v>
      </c>
      <c r="H95" s="268">
        <v>57.89</v>
      </c>
      <c r="I95" s="287">
        <v>1.06</v>
      </c>
      <c r="J95" s="268">
        <v>1.34</v>
      </c>
      <c r="K95" s="292">
        <v>56.83</v>
      </c>
      <c r="L95" s="268">
        <v>72.099999999999994</v>
      </c>
      <c r="M95" s="268">
        <v>73.44</v>
      </c>
      <c r="N95" s="268">
        <v>177.55</v>
      </c>
      <c r="O95" s="268">
        <v>9553.25</v>
      </c>
      <c r="P95" s="268">
        <v>9730.7999999999993</v>
      </c>
      <c r="Q95" s="269">
        <v>3.8E-3</v>
      </c>
      <c r="R95" s="44"/>
      <c r="S95" s="49">
        <f t="shared" si="1"/>
        <v>7670.43</v>
      </c>
      <c r="T95" s="85"/>
      <c r="U95" s="48"/>
      <c r="V95" s="48"/>
      <c r="W95" s="48"/>
      <c r="X95" s="48"/>
      <c r="Y95" s="48"/>
      <c r="Z95" s="48"/>
      <c r="AA95" s="48"/>
      <c r="AB95" s="48"/>
      <c r="AC95" s="48"/>
      <c r="AD95" s="48"/>
      <c r="AE95" s="48"/>
      <c r="AF95" s="48"/>
      <c r="AG95" s="48"/>
      <c r="AH95" s="48"/>
      <c r="AI95" s="48"/>
      <c r="AJ95" s="44"/>
      <c r="AK95" s="44"/>
      <c r="AL95" s="44"/>
    </row>
    <row r="96" spans="1:38" ht="27.6" x14ac:dyDescent="0.25">
      <c r="A96" s="94"/>
      <c r="B96" s="265" t="s">
        <v>112</v>
      </c>
      <c r="C96" s="266" t="s">
        <v>91</v>
      </c>
      <c r="D96" s="265" t="s">
        <v>40</v>
      </c>
      <c r="E96" s="265" t="s">
        <v>92</v>
      </c>
      <c r="F96" s="267" t="s">
        <v>65</v>
      </c>
      <c r="G96" s="277">
        <v>766</v>
      </c>
      <c r="H96" s="268">
        <v>9.7200000000000006</v>
      </c>
      <c r="I96" s="287">
        <v>0.61</v>
      </c>
      <c r="J96" s="268">
        <v>0.77</v>
      </c>
      <c r="K96" s="292">
        <v>9.11</v>
      </c>
      <c r="L96" s="268">
        <v>11.56</v>
      </c>
      <c r="M96" s="268">
        <v>12.33</v>
      </c>
      <c r="N96" s="268">
        <v>589.82000000000005</v>
      </c>
      <c r="O96" s="268">
        <v>8854.9599999999991</v>
      </c>
      <c r="P96" s="268">
        <v>9444.7800000000007</v>
      </c>
      <c r="Q96" s="269">
        <v>3.7000000000000002E-3</v>
      </c>
      <c r="R96" s="44"/>
      <c r="S96" s="49">
        <f t="shared" si="1"/>
        <v>7445.52</v>
      </c>
      <c r="T96" s="126"/>
      <c r="U96" s="48"/>
      <c r="V96" s="48"/>
      <c r="W96" s="48"/>
      <c r="X96" s="48"/>
      <c r="Y96" s="48"/>
      <c r="Z96" s="48"/>
      <c r="AA96" s="48"/>
      <c r="AB96" s="48"/>
      <c r="AC96" s="48"/>
      <c r="AD96" s="48"/>
      <c r="AE96" s="48"/>
      <c r="AF96" s="48"/>
      <c r="AG96" s="48"/>
      <c r="AH96" s="48"/>
      <c r="AI96" s="48"/>
      <c r="AJ96" s="44"/>
      <c r="AK96" s="44"/>
      <c r="AL96" s="44"/>
    </row>
    <row r="97" spans="1:38" x14ac:dyDescent="0.25">
      <c r="A97" s="94"/>
      <c r="B97" s="265" t="s">
        <v>1050</v>
      </c>
      <c r="C97" s="266" t="s">
        <v>257</v>
      </c>
      <c r="D97" s="265" t="s">
        <v>146</v>
      </c>
      <c r="E97" s="265" t="s">
        <v>258</v>
      </c>
      <c r="F97" s="267" t="s">
        <v>168</v>
      </c>
      <c r="G97" s="277">
        <v>27</v>
      </c>
      <c r="H97" s="268">
        <v>274.55</v>
      </c>
      <c r="I97" s="287">
        <v>20.239999999999998</v>
      </c>
      <c r="J97" s="268">
        <v>25.68</v>
      </c>
      <c r="K97" s="292">
        <v>254.31</v>
      </c>
      <c r="L97" s="268">
        <v>322.64</v>
      </c>
      <c r="M97" s="268">
        <v>348.32</v>
      </c>
      <c r="N97" s="268">
        <v>693.36</v>
      </c>
      <c r="O97" s="268">
        <v>8711.2800000000007</v>
      </c>
      <c r="P97" s="268">
        <v>9404.64</v>
      </c>
      <c r="Q97" s="269">
        <v>3.7000000000000002E-3</v>
      </c>
      <c r="R97" s="44"/>
      <c r="S97" s="49">
        <f t="shared" si="1"/>
        <v>7412.85</v>
      </c>
      <c r="T97" s="85"/>
      <c r="U97" s="48"/>
      <c r="V97" s="48"/>
      <c r="W97" s="48"/>
      <c r="X97" s="48"/>
      <c r="Y97" s="48"/>
      <c r="Z97" s="48"/>
      <c r="AA97" s="48"/>
      <c r="AB97" s="48"/>
      <c r="AC97" s="48"/>
      <c r="AD97" s="48"/>
      <c r="AE97" s="48"/>
      <c r="AF97" s="48"/>
      <c r="AG97" s="48"/>
      <c r="AH97" s="48"/>
      <c r="AI97" s="48"/>
      <c r="AJ97" s="44"/>
      <c r="AK97" s="44"/>
      <c r="AL97" s="44"/>
    </row>
    <row r="98" spans="1:38" ht="27.6" x14ac:dyDescent="0.25">
      <c r="A98" s="94"/>
      <c r="B98" s="265" t="s">
        <v>87</v>
      </c>
      <c r="C98" s="266" t="s">
        <v>88</v>
      </c>
      <c r="D98" s="265" t="s">
        <v>40</v>
      </c>
      <c r="E98" s="265" t="s">
        <v>89</v>
      </c>
      <c r="F98" s="267" t="s">
        <v>65</v>
      </c>
      <c r="G98" s="277">
        <v>621.1</v>
      </c>
      <c r="H98" s="268">
        <v>11.51</v>
      </c>
      <c r="I98" s="287">
        <v>0.96</v>
      </c>
      <c r="J98" s="268">
        <v>1.22</v>
      </c>
      <c r="K98" s="292">
        <v>10.55</v>
      </c>
      <c r="L98" s="268">
        <v>13.38</v>
      </c>
      <c r="M98" s="268">
        <v>14.6</v>
      </c>
      <c r="N98" s="268">
        <v>757.74</v>
      </c>
      <c r="O98" s="268">
        <v>8310.32</v>
      </c>
      <c r="P98" s="268">
        <v>9068.06</v>
      </c>
      <c r="Q98" s="269">
        <v>3.5999999999999999E-3</v>
      </c>
      <c r="R98" s="44"/>
      <c r="S98" s="49">
        <f t="shared" si="1"/>
        <v>7148.86</v>
      </c>
      <c r="T98" s="126"/>
      <c r="U98" s="48"/>
      <c r="V98" s="48"/>
      <c r="W98" s="48"/>
      <c r="X98" s="48"/>
      <c r="Y98" s="48"/>
      <c r="Z98" s="48"/>
      <c r="AA98" s="48"/>
      <c r="AB98" s="48"/>
      <c r="AC98" s="48"/>
      <c r="AD98" s="48"/>
      <c r="AE98" s="48"/>
      <c r="AF98" s="48"/>
      <c r="AG98" s="48"/>
      <c r="AH98" s="48"/>
      <c r="AI98" s="48"/>
      <c r="AJ98" s="44"/>
      <c r="AK98" s="44"/>
      <c r="AL98" s="44"/>
    </row>
    <row r="99" spans="1:38" ht="27.6" x14ac:dyDescent="0.25">
      <c r="A99" s="94"/>
      <c r="B99" s="265" t="s">
        <v>115</v>
      </c>
      <c r="C99" s="266" t="s">
        <v>97</v>
      </c>
      <c r="D99" s="265" t="s">
        <v>40</v>
      </c>
      <c r="E99" s="265" t="s">
        <v>98</v>
      </c>
      <c r="F99" s="267" t="s">
        <v>65</v>
      </c>
      <c r="G99" s="277">
        <v>519.20000000000005</v>
      </c>
      <c r="H99" s="268">
        <v>13.92</v>
      </c>
      <c r="I99" s="287">
        <v>3.41</v>
      </c>
      <c r="J99" s="268">
        <v>4.33</v>
      </c>
      <c r="K99" s="292">
        <v>10.51</v>
      </c>
      <c r="L99" s="268">
        <v>13.33</v>
      </c>
      <c r="M99" s="268">
        <v>17.66</v>
      </c>
      <c r="N99" s="268">
        <v>2248.14</v>
      </c>
      <c r="O99" s="268">
        <v>6920.94</v>
      </c>
      <c r="P99" s="268">
        <v>9169.08</v>
      </c>
      <c r="Q99" s="269">
        <v>3.5999999999999999E-3</v>
      </c>
      <c r="R99" s="44"/>
      <c r="S99" s="49">
        <f t="shared" si="1"/>
        <v>7227.26</v>
      </c>
      <c r="T99" s="126"/>
      <c r="U99" s="48"/>
      <c r="V99" s="48"/>
      <c r="W99" s="48"/>
      <c r="X99" s="48"/>
      <c r="Y99" s="48"/>
      <c r="Z99" s="48"/>
      <c r="AA99" s="48"/>
      <c r="AB99" s="48"/>
      <c r="AC99" s="48"/>
      <c r="AD99" s="48"/>
      <c r="AE99" s="48"/>
      <c r="AF99" s="48"/>
      <c r="AG99" s="48"/>
      <c r="AH99" s="48"/>
      <c r="AI99" s="48"/>
      <c r="AJ99" s="44"/>
      <c r="AK99" s="44"/>
      <c r="AL99" s="44"/>
    </row>
    <row r="100" spans="1:38" ht="27.6" x14ac:dyDescent="0.25">
      <c r="A100" s="94"/>
      <c r="B100" s="265" t="s">
        <v>120</v>
      </c>
      <c r="C100" s="266" t="s">
        <v>124</v>
      </c>
      <c r="D100" s="265" t="s">
        <v>40</v>
      </c>
      <c r="E100" s="265" t="s">
        <v>125</v>
      </c>
      <c r="F100" s="267" t="s">
        <v>65</v>
      </c>
      <c r="G100" s="277">
        <v>546</v>
      </c>
      <c r="H100" s="268">
        <v>13</v>
      </c>
      <c r="I100" s="287">
        <v>1.86</v>
      </c>
      <c r="J100" s="268">
        <v>2.36</v>
      </c>
      <c r="K100" s="292">
        <v>11.14</v>
      </c>
      <c r="L100" s="268">
        <v>14.13</v>
      </c>
      <c r="M100" s="268">
        <v>16.489999999999998</v>
      </c>
      <c r="N100" s="268">
        <v>1288.56</v>
      </c>
      <c r="O100" s="268">
        <v>7714.98</v>
      </c>
      <c r="P100" s="268">
        <v>9003.5400000000009</v>
      </c>
      <c r="Q100" s="269">
        <v>3.5999999999999999E-3</v>
      </c>
      <c r="R100" s="44"/>
      <c r="S100" s="49">
        <f t="shared" si="1"/>
        <v>7098</v>
      </c>
      <c r="T100" s="126"/>
      <c r="U100" s="48"/>
      <c r="V100" s="48"/>
      <c r="W100" s="48"/>
      <c r="X100" s="48"/>
      <c r="Y100" s="48"/>
      <c r="Z100" s="48"/>
      <c r="AA100" s="48"/>
      <c r="AB100" s="48"/>
      <c r="AC100" s="48"/>
      <c r="AD100" s="48"/>
      <c r="AE100" s="48"/>
      <c r="AF100" s="48"/>
      <c r="AG100" s="48"/>
      <c r="AH100" s="48"/>
      <c r="AI100" s="48"/>
      <c r="AJ100" s="44"/>
      <c r="AK100" s="44"/>
      <c r="AL100" s="44"/>
    </row>
    <row r="101" spans="1:38" ht="27.6" x14ac:dyDescent="0.25">
      <c r="A101" s="94"/>
      <c r="B101" s="265" t="s">
        <v>590</v>
      </c>
      <c r="C101" s="266" t="s">
        <v>1140</v>
      </c>
      <c r="D101" s="265" t="s">
        <v>40</v>
      </c>
      <c r="E101" s="265" t="s">
        <v>1141</v>
      </c>
      <c r="F101" s="267" t="s">
        <v>55</v>
      </c>
      <c r="G101" s="277">
        <v>122</v>
      </c>
      <c r="H101" s="268">
        <v>59.12</v>
      </c>
      <c r="I101" s="287">
        <v>3.56</v>
      </c>
      <c r="J101" s="268">
        <v>4.5199999999999996</v>
      </c>
      <c r="K101" s="292">
        <v>55.56</v>
      </c>
      <c r="L101" s="268">
        <v>70.489999999999995</v>
      </c>
      <c r="M101" s="268">
        <v>75.010000000000005</v>
      </c>
      <c r="N101" s="268">
        <v>551.44000000000005</v>
      </c>
      <c r="O101" s="268">
        <v>8599.7800000000007</v>
      </c>
      <c r="P101" s="268">
        <v>9151.2199999999993</v>
      </c>
      <c r="Q101" s="269">
        <v>3.5999999999999999E-3</v>
      </c>
      <c r="R101" s="44"/>
      <c r="S101" s="49">
        <f t="shared" si="1"/>
        <v>7212.64</v>
      </c>
      <c r="T101" s="126"/>
      <c r="U101" s="48"/>
      <c r="V101" s="48"/>
      <c r="W101" s="48"/>
      <c r="X101" s="48"/>
      <c r="Y101" s="48"/>
      <c r="Z101" s="48"/>
      <c r="AA101" s="48"/>
      <c r="AB101" s="48"/>
      <c r="AC101" s="48"/>
      <c r="AD101" s="48"/>
      <c r="AE101" s="48"/>
      <c r="AF101" s="48"/>
      <c r="AG101" s="48"/>
      <c r="AH101" s="48"/>
      <c r="AI101" s="48"/>
      <c r="AJ101" s="44"/>
      <c r="AK101" s="44"/>
      <c r="AL101" s="44"/>
    </row>
    <row r="102" spans="1:38" x14ac:dyDescent="0.25">
      <c r="A102" s="94"/>
      <c r="B102" s="265" t="s">
        <v>1362</v>
      </c>
      <c r="C102" s="266" t="s">
        <v>81</v>
      </c>
      <c r="D102" s="265" t="s">
        <v>51</v>
      </c>
      <c r="E102" s="265" t="s">
        <v>82</v>
      </c>
      <c r="F102" s="267" t="s">
        <v>59</v>
      </c>
      <c r="G102" s="277">
        <v>76.2</v>
      </c>
      <c r="H102" s="268">
        <v>92.53</v>
      </c>
      <c r="I102" s="287">
        <v>2.4500000000000002</v>
      </c>
      <c r="J102" s="268">
        <v>3.11</v>
      </c>
      <c r="K102" s="292">
        <v>90.08</v>
      </c>
      <c r="L102" s="268">
        <v>114.28</v>
      </c>
      <c r="M102" s="268">
        <v>117.39</v>
      </c>
      <c r="N102" s="268">
        <v>236.98</v>
      </c>
      <c r="O102" s="268">
        <v>8708.14</v>
      </c>
      <c r="P102" s="268">
        <v>8945.1200000000008</v>
      </c>
      <c r="Q102" s="269">
        <v>3.5000000000000001E-3</v>
      </c>
      <c r="R102" s="44"/>
      <c r="S102" s="49">
        <f t="shared" si="1"/>
        <v>7050.79</v>
      </c>
      <c r="T102" s="126"/>
      <c r="U102" s="48"/>
      <c r="V102" s="48"/>
      <c r="W102" s="48"/>
      <c r="X102" s="48"/>
      <c r="Y102" s="48"/>
      <c r="Z102" s="48"/>
      <c r="AA102" s="48"/>
      <c r="AB102" s="48"/>
      <c r="AC102" s="48"/>
      <c r="AD102" s="48"/>
      <c r="AE102" s="48"/>
      <c r="AF102" s="48"/>
      <c r="AG102" s="48"/>
      <c r="AH102" s="48"/>
      <c r="AI102" s="48"/>
      <c r="AJ102" s="44"/>
      <c r="AK102" s="44"/>
      <c r="AL102" s="44"/>
    </row>
    <row r="103" spans="1:38" x14ac:dyDescent="0.25">
      <c r="A103" s="94"/>
      <c r="B103" s="265" t="s">
        <v>822</v>
      </c>
      <c r="C103" s="266" t="s">
        <v>826</v>
      </c>
      <c r="D103" s="265" t="s">
        <v>51</v>
      </c>
      <c r="E103" s="265" t="s">
        <v>827</v>
      </c>
      <c r="F103" s="267" t="s">
        <v>44</v>
      </c>
      <c r="G103" s="277">
        <v>4</v>
      </c>
      <c r="H103" s="268">
        <v>1762.24</v>
      </c>
      <c r="I103" s="287">
        <v>24.26</v>
      </c>
      <c r="J103" s="268">
        <v>30.78</v>
      </c>
      <c r="K103" s="292">
        <v>1737.98</v>
      </c>
      <c r="L103" s="268">
        <v>2204.98</v>
      </c>
      <c r="M103" s="268">
        <v>2235.7600000000002</v>
      </c>
      <c r="N103" s="268">
        <v>123.12</v>
      </c>
      <c r="O103" s="268">
        <v>8819.92</v>
      </c>
      <c r="P103" s="268">
        <v>8943.0400000000009</v>
      </c>
      <c r="Q103" s="269">
        <v>3.5000000000000001E-3</v>
      </c>
      <c r="R103" s="44"/>
      <c r="S103" s="49">
        <f t="shared" si="1"/>
        <v>7048.96</v>
      </c>
      <c r="T103" s="126"/>
      <c r="U103" s="48"/>
      <c r="V103" s="48"/>
      <c r="W103" s="48"/>
      <c r="X103" s="48"/>
      <c r="Y103" s="48"/>
      <c r="Z103" s="48"/>
      <c r="AA103" s="48"/>
      <c r="AB103" s="48"/>
      <c r="AC103" s="48"/>
      <c r="AD103" s="48"/>
      <c r="AE103" s="48"/>
      <c r="AF103" s="48"/>
      <c r="AG103" s="48"/>
      <c r="AH103" s="48"/>
      <c r="AI103" s="48"/>
      <c r="AJ103" s="44"/>
      <c r="AK103" s="44"/>
      <c r="AL103" s="44"/>
    </row>
    <row r="104" spans="1:38" ht="27.6" x14ac:dyDescent="0.25">
      <c r="A104" s="94"/>
      <c r="B104" s="265" t="s">
        <v>1238</v>
      </c>
      <c r="C104" s="266" t="s">
        <v>640</v>
      </c>
      <c r="D104" s="265" t="s">
        <v>199</v>
      </c>
      <c r="E104" s="265" t="s">
        <v>764</v>
      </c>
      <c r="F104" s="267" t="s">
        <v>393</v>
      </c>
      <c r="G104" s="277">
        <v>1</v>
      </c>
      <c r="H104" s="268">
        <v>7124.29</v>
      </c>
      <c r="I104" s="287">
        <v>73.510000000000005</v>
      </c>
      <c r="J104" s="268">
        <v>87.53</v>
      </c>
      <c r="K104" s="292">
        <v>7050.78</v>
      </c>
      <c r="L104" s="268">
        <v>8395.36</v>
      </c>
      <c r="M104" s="268">
        <v>8482.89</v>
      </c>
      <c r="N104" s="268">
        <v>87.53</v>
      </c>
      <c r="O104" s="268">
        <v>8395.36</v>
      </c>
      <c r="P104" s="268">
        <v>8482.89</v>
      </c>
      <c r="Q104" s="269">
        <v>3.3999999999999998E-3</v>
      </c>
      <c r="R104" s="44"/>
      <c r="S104" s="49">
        <f t="shared" si="1"/>
        <v>7124.29</v>
      </c>
      <c r="T104" s="126"/>
      <c r="U104" s="48"/>
      <c r="V104" s="48"/>
      <c r="W104" s="48"/>
      <c r="X104" s="48"/>
      <c r="Y104" s="48"/>
      <c r="Z104" s="48"/>
      <c r="AA104" s="48"/>
      <c r="AB104" s="48"/>
      <c r="AC104" s="48"/>
      <c r="AD104" s="48"/>
      <c r="AE104" s="48"/>
      <c r="AF104" s="48"/>
      <c r="AG104" s="48"/>
      <c r="AH104" s="48"/>
      <c r="AI104" s="48"/>
      <c r="AJ104" s="44"/>
      <c r="AK104" s="44"/>
      <c r="AL104" s="44"/>
    </row>
    <row r="105" spans="1:38" ht="27.6" x14ac:dyDescent="0.25">
      <c r="A105" s="94"/>
      <c r="B105" s="265" t="s">
        <v>108</v>
      </c>
      <c r="C105" s="266" t="s">
        <v>109</v>
      </c>
      <c r="D105" s="265" t="s">
        <v>40</v>
      </c>
      <c r="E105" s="265" t="s">
        <v>110</v>
      </c>
      <c r="F105" s="267" t="s">
        <v>65</v>
      </c>
      <c r="G105" s="277">
        <v>518.70000000000005</v>
      </c>
      <c r="H105" s="268">
        <v>12.81</v>
      </c>
      <c r="I105" s="287">
        <v>1.48</v>
      </c>
      <c r="J105" s="268">
        <v>1.88</v>
      </c>
      <c r="K105" s="292">
        <v>11.33</v>
      </c>
      <c r="L105" s="268">
        <v>14.37</v>
      </c>
      <c r="M105" s="268">
        <v>16.25</v>
      </c>
      <c r="N105" s="268">
        <v>975.16</v>
      </c>
      <c r="O105" s="268">
        <v>7453.72</v>
      </c>
      <c r="P105" s="268">
        <v>8428.8799999999992</v>
      </c>
      <c r="Q105" s="269">
        <v>3.3E-3</v>
      </c>
      <c r="R105" s="44"/>
      <c r="S105" s="49">
        <f t="shared" si="1"/>
        <v>6644.55</v>
      </c>
      <c r="T105" s="126"/>
      <c r="U105" s="48"/>
      <c r="V105" s="48"/>
      <c r="W105" s="48"/>
      <c r="X105" s="48"/>
      <c r="Y105" s="48"/>
      <c r="Z105" s="48"/>
      <c r="AA105" s="48"/>
      <c r="AB105" s="48"/>
      <c r="AC105" s="48"/>
      <c r="AD105" s="48"/>
      <c r="AE105" s="48"/>
      <c r="AF105" s="48"/>
      <c r="AG105" s="48"/>
      <c r="AH105" s="48"/>
      <c r="AI105" s="48"/>
      <c r="AJ105" s="44"/>
      <c r="AK105" s="44"/>
      <c r="AL105" s="44"/>
    </row>
    <row r="106" spans="1:38" ht="41.4" x14ac:dyDescent="0.25">
      <c r="A106" s="94"/>
      <c r="B106" s="265" t="s">
        <v>1035</v>
      </c>
      <c r="C106" s="266" t="s">
        <v>833</v>
      </c>
      <c r="D106" s="265" t="s">
        <v>40</v>
      </c>
      <c r="E106" s="265" t="s">
        <v>834</v>
      </c>
      <c r="F106" s="267" t="s">
        <v>44</v>
      </c>
      <c r="G106" s="277">
        <v>15</v>
      </c>
      <c r="H106" s="268">
        <v>439.85</v>
      </c>
      <c r="I106" s="287">
        <v>32.729999999999997</v>
      </c>
      <c r="J106" s="268">
        <v>41.52</v>
      </c>
      <c r="K106" s="292">
        <v>407.12</v>
      </c>
      <c r="L106" s="268">
        <v>516.51</v>
      </c>
      <c r="M106" s="268">
        <v>558.03</v>
      </c>
      <c r="N106" s="268">
        <v>622.79999999999995</v>
      </c>
      <c r="O106" s="268">
        <v>7747.65</v>
      </c>
      <c r="P106" s="268">
        <v>8370.4500000000007</v>
      </c>
      <c r="Q106" s="269">
        <v>3.3E-3</v>
      </c>
      <c r="R106" s="44"/>
      <c r="S106" s="49">
        <f t="shared" si="1"/>
        <v>6597.75</v>
      </c>
      <c r="T106" s="126"/>
      <c r="U106" s="48"/>
      <c r="V106" s="48"/>
      <c r="W106" s="48"/>
      <c r="X106" s="48"/>
      <c r="Y106" s="48"/>
      <c r="Z106" s="48"/>
      <c r="AA106" s="48"/>
      <c r="AB106" s="48"/>
      <c r="AC106" s="48"/>
      <c r="AD106" s="48"/>
      <c r="AE106" s="48"/>
      <c r="AF106" s="48"/>
      <c r="AG106" s="48"/>
      <c r="AH106" s="48"/>
      <c r="AI106" s="48"/>
      <c r="AJ106" s="44"/>
      <c r="AK106" s="44"/>
      <c r="AL106" s="44"/>
    </row>
    <row r="107" spans="1:38" x14ac:dyDescent="0.25">
      <c r="A107" s="94"/>
      <c r="B107" s="265" t="s">
        <v>67</v>
      </c>
      <c r="C107" s="266" t="s">
        <v>68</v>
      </c>
      <c r="D107" s="265" t="s">
        <v>40</v>
      </c>
      <c r="E107" s="265" t="s">
        <v>990</v>
      </c>
      <c r="F107" s="267" t="s">
        <v>65</v>
      </c>
      <c r="G107" s="277">
        <v>395.2</v>
      </c>
      <c r="H107" s="268">
        <v>15.9</v>
      </c>
      <c r="I107" s="287">
        <v>3.9</v>
      </c>
      <c r="J107" s="268">
        <v>4.95</v>
      </c>
      <c r="K107" s="292">
        <v>12</v>
      </c>
      <c r="L107" s="268">
        <v>15.22</v>
      </c>
      <c r="M107" s="268">
        <v>20.170000000000002</v>
      </c>
      <c r="N107" s="268">
        <v>1956.24</v>
      </c>
      <c r="O107" s="268">
        <v>6014.94</v>
      </c>
      <c r="P107" s="268">
        <v>7971.18</v>
      </c>
      <c r="Q107" s="269">
        <v>3.2000000000000002E-3</v>
      </c>
      <c r="R107" s="44"/>
      <c r="S107" s="49">
        <f t="shared" si="1"/>
        <v>6283.68</v>
      </c>
      <c r="T107" s="126"/>
      <c r="U107" s="48"/>
      <c r="V107" s="48"/>
      <c r="W107" s="48"/>
      <c r="X107" s="48"/>
      <c r="Y107" s="48"/>
      <c r="Z107" s="48"/>
      <c r="AA107" s="48"/>
      <c r="AB107" s="48"/>
      <c r="AC107" s="48"/>
      <c r="AD107" s="48"/>
      <c r="AE107" s="48"/>
      <c r="AF107" s="48"/>
      <c r="AG107" s="48"/>
      <c r="AH107" s="48"/>
      <c r="AI107" s="48"/>
      <c r="AJ107" s="44"/>
      <c r="AK107" s="44"/>
      <c r="AL107" s="44"/>
    </row>
    <row r="108" spans="1:38" x14ac:dyDescent="0.25">
      <c r="A108" s="94"/>
      <c r="B108" s="265" t="s">
        <v>641</v>
      </c>
      <c r="C108" s="266" t="s">
        <v>1154</v>
      </c>
      <c r="D108" s="265" t="s">
        <v>51</v>
      </c>
      <c r="E108" s="265" t="s">
        <v>1155</v>
      </c>
      <c r="F108" s="267" t="s">
        <v>44</v>
      </c>
      <c r="G108" s="277">
        <v>1</v>
      </c>
      <c r="H108" s="268">
        <v>6756.93</v>
      </c>
      <c r="I108" s="287">
        <v>101.44</v>
      </c>
      <c r="J108" s="268">
        <v>120.78</v>
      </c>
      <c r="K108" s="292">
        <v>6655.49</v>
      </c>
      <c r="L108" s="268">
        <v>7924.69</v>
      </c>
      <c r="M108" s="268">
        <v>8045.47</v>
      </c>
      <c r="N108" s="268">
        <v>120.78</v>
      </c>
      <c r="O108" s="268">
        <v>7924.69</v>
      </c>
      <c r="P108" s="268">
        <v>8045.47</v>
      </c>
      <c r="Q108" s="269">
        <v>3.2000000000000002E-3</v>
      </c>
      <c r="R108" s="44"/>
      <c r="S108" s="49">
        <f t="shared" si="1"/>
        <v>6756.93</v>
      </c>
      <c r="T108" s="126"/>
      <c r="U108" s="48"/>
      <c r="V108" s="48"/>
      <c r="W108" s="48"/>
      <c r="X108" s="48"/>
      <c r="Y108" s="48"/>
      <c r="Z108" s="48"/>
      <c r="AA108" s="48"/>
      <c r="AB108" s="48"/>
      <c r="AC108" s="48"/>
      <c r="AD108" s="48"/>
      <c r="AE108" s="48"/>
      <c r="AF108" s="48"/>
      <c r="AG108" s="48"/>
      <c r="AH108" s="48"/>
      <c r="AI108" s="48"/>
      <c r="AJ108" s="44"/>
      <c r="AK108" s="44"/>
      <c r="AL108" s="44"/>
    </row>
    <row r="109" spans="1:38" ht="27.6" x14ac:dyDescent="0.25">
      <c r="A109" s="94"/>
      <c r="B109" s="265" t="s">
        <v>72</v>
      </c>
      <c r="C109" s="266" t="s">
        <v>994</v>
      </c>
      <c r="D109" s="265" t="s">
        <v>40</v>
      </c>
      <c r="E109" s="265" t="s">
        <v>995</v>
      </c>
      <c r="F109" s="267" t="s">
        <v>65</v>
      </c>
      <c r="G109" s="277">
        <v>531.5</v>
      </c>
      <c r="H109" s="268">
        <v>11.66</v>
      </c>
      <c r="I109" s="287">
        <v>0.93</v>
      </c>
      <c r="J109" s="268">
        <v>1.18</v>
      </c>
      <c r="K109" s="292">
        <v>10.73</v>
      </c>
      <c r="L109" s="268">
        <v>13.61</v>
      </c>
      <c r="M109" s="268">
        <v>14.79</v>
      </c>
      <c r="N109" s="268">
        <v>627.16999999999996</v>
      </c>
      <c r="O109" s="268">
        <v>7233.72</v>
      </c>
      <c r="P109" s="268">
        <v>7860.89</v>
      </c>
      <c r="Q109" s="269">
        <v>3.0999999999999999E-3</v>
      </c>
      <c r="R109" s="44"/>
      <c r="S109" s="49">
        <f t="shared" si="1"/>
        <v>6197.29</v>
      </c>
      <c r="T109" s="126"/>
      <c r="U109" s="48"/>
      <c r="V109" s="48"/>
      <c r="W109" s="48"/>
      <c r="X109" s="48"/>
      <c r="Y109" s="48"/>
      <c r="Z109" s="48"/>
      <c r="AA109" s="48"/>
      <c r="AB109" s="48"/>
      <c r="AC109" s="48"/>
      <c r="AD109" s="48"/>
      <c r="AE109" s="48"/>
      <c r="AF109" s="48"/>
      <c r="AG109" s="48"/>
      <c r="AH109" s="48"/>
      <c r="AI109" s="48"/>
      <c r="AJ109" s="44"/>
      <c r="AK109" s="44"/>
      <c r="AL109" s="44"/>
    </row>
    <row r="110" spans="1:38" x14ac:dyDescent="0.25">
      <c r="A110" s="94"/>
      <c r="B110" s="265" t="s">
        <v>600</v>
      </c>
      <c r="C110" s="266" t="s">
        <v>1150</v>
      </c>
      <c r="D110" s="265" t="s">
        <v>146</v>
      </c>
      <c r="E110" s="265" t="s">
        <v>1151</v>
      </c>
      <c r="F110" s="267" t="s">
        <v>168</v>
      </c>
      <c r="G110" s="277">
        <v>74</v>
      </c>
      <c r="H110" s="268">
        <v>84.69</v>
      </c>
      <c r="I110" s="287">
        <v>16.170000000000002</v>
      </c>
      <c r="J110" s="268">
        <v>20.51</v>
      </c>
      <c r="K110" s="292">
        <v>68.52</v>
      </c>
      <c r="L110" s="268">
        <v>86.93</v>
      </c>
      <c r="M110" s="268">
        <v>107.44</v>
      </c>
      <c r="N110" s="268">
        <v>1517.74</v>
      </c>
      <c r="O110" s="268">
        <v>6432.82</v>
      </c>
      <c r="P110" s="268">
        <v>7950.56</v>
      </c>
      <c r="Q110" s="269">
        <v>3.0999999999999999E-3</v>
      </c>
      <c r="R110" s="44"/>
      <c r="S110" s="49">
        <f t="shared" si="1"/>
        <v>6267.06</v>
      </c>
      <c r="T110" s="126"/>
      <c r="U110" s="48"/>
      <c r="V110" s="48"/>
      <c r="W110" s="48"/>
      <c r="X110" s="48"/>
      <c r="Y110" s="48"/>
      <c r="Z110" s="48"/>
      <c r="AA110" s="48"/>
      <c r="AB110" s="48"/>
      <c r="AC110" s="48"/>
      <c r="AD110" s="48"/>
      <c r="AE110" s="48"/>
      <c r="AF110" s="48"/>
      <c r="AG110" s="48"/>
      <c r="AH110" s="48"/>
      <c r="AI110" s="48"/>
      <c r="AJ110" s="44"/>
      <c r="AK110" s="44"/>
      <c r="AL110" s="44"/>
    </row>
    <row r="111" spans="1:38" ht="27.6" x14ac:dyDescent="0.25">
      <c r="A111" s="94"/>
      <c r="B111" s="265" t="s">
        <v>1220</v>
      </c>
      <c r="C111" s="266" t="s">
        <v>397</v>
      </c>
      <c r="D111" s="265" t="s">
        <v>40</v>
      </c>
      <c r="E111" s="265" t="s">
        <v>398</v>
      </c>
      <c r="F111" s="267" t="s">
        <v>55</v>
      </c>
      <c r="G111" s="277">
        <v>299.39999999999998</v>
      </c>
      <c r="H111" s="268">
        <v>20.190000000000001</v>
      </c>
      <c r="I111" s="287">
        <v>7.54</v>
      </c>
      <c r="J111" s="268">
        <v>9.57</v>
      </c>
      <c r="K111" s="292">
        <v>12.65</v>
      </c>
      <c r="L111" s="268">
        <v>16.05</v>
      </c>
      <c r="M111" s="268">
        <v>25.62</v>
      </c>
      <c r="N111" s="268">
        <v>2865.26</v>
      </c>
      <c r="O111" s="268">
        <v>4805.37</v>
      </c>
      <c r="P111" s="268">
        <v>7670.63</v>
      </c>
      <c r="Q111" s="269">
        <v>3.0000000000000001E-3</v>
      </c>
      <c r="R111" s="44"/>
      <c r="S111" s="49">
        <f t="shared" si="1"/>
        <v>6044.89</v>
      </c>
      <c r="T111" s="126"/>
      <c r="U111" s="48"/>
      <c r="V111" s="48"/>
      <c r="W111" s="48"/>
      <c r="X111" s="48"/>
      <c r="Y111" s="48"/>
      <c r="Z111" s="48"/>
      <c r="AA111" s="48"/>
      <c r="AB111" s="48"/>
      <c r="AC111" s="48"/>
      <c r="AD111" s="48"/>
      <c r="AE111" s="48"/>
      <c r="AF111" s="48"/>
      <c r="AG111" s="48"/>
      <c r="AH111" s="48"/>
      <c r="AI111" s="48"/>
      <c r="AJ111" s="44"/>
      <c r="AK111" s="44"/>
      <c r="AL111" s="44"/>
    </row>
    <row r="112" spans="1:38" ht="27.6" x14ac:dyDescent="0.25">
      <c r="A112" s="94"/>
      <c r="B112" s="265" t="s">
        <v>1576</v>
      </c>
      <c r="C112" s="266" t="s">
        <v>1577</v>
      </c>
      <c r="D112" s="265" t="s">
        <v>146</v>
      </c>
      <c r="E112" s="265" t="s">
        <v>1578</v>
      </c>
      <c r="F112" s="267" t="s">
        <v>168</v>
      </c>
      <c r="G112" s="277">
        <v>3</v>
      </c>
      <c r="H112" s="268">
        <v>1975.72</v>
      </c>
      <c r="I112" s="287">
        <v>394.17</v>
      </c>
      <c r="J112" s="268">
        <v>500.08</v>
      </c>
      <c r="K112" s="292">
        <v>1581.55</v>
      </c>
      <c r="L112" s="268">
        <v>2006.51</v>
      </c>
      <c r="M112" s="268">
        <v>2506.59</v>
      </c>
      <c r="N112" s="268">
        <v>1500.24</v>
      </c>
      <c r="O112" s="268">
        <v>6019.53</v>
      </c>
      <c r="P112" s="268">
        <v>7519.77</v>
      </c>
      <c r="Q112" s="269">
        <v>3.0000000000000001E-3</v>
      </c>
      <c r="R112" s="44"/>
      <c r="S112" s="49">
        <f t="shared" si="1"/>
        <v>5927.16</v>
      </c>
      <c r="T112" s="126"/>
      <c r="U112" s="48"/>
      <c r="V112" s="48"/>
      <c r="W112" s="48"/>
      <c r="X112" s="48"/>
      <c r="Y112" s="48"/>
      <c r="Z112" s="48"/>
      <c r="AA112" s="48"/>
      <c r="AB112" s="48"/>
      <c r="AC112" s="48"/>
      <c r="AD112" s="48"/>
      <c r="AE112" s="48"/>
      <c r="AF112" s="48"/>
      <c r="AG112" s="48"/>
      <c r="AH112" s="48"/>
      <c r="AI112" s="48"/>
      <c r="AJ112" s="44"/>
      <c r="AK112" s="44"/>
      <c r="AL112" s="44"/>
    </row>
    <row r="113" spans="1:38" x14ac:dyDescent="0.25">
      <c r="A113" s="94"/>
      <c r="B113" s="265" t="s">
        <v>1051</v>
      </c>
      <c r="C113" s="266" t="s">
        <v>259</v>
      </c>
      <c r="D113" s="265" t="s">
        <v>146</v>
      </c>
      <c r="E113" s="265" t="s">
        <v>260</v>
      </c>
      <c r="F113" s="267" t="s">
        <v>168</v>
      </c>
      <c r="G113" s="277">
        <v>7</v>
      </c>
      <c r="H113" s="268">
        <v>812.99</v>
      </c>
      <c r="I113" s="287">
        <v>11.49</v>
      </c>
      <c r="J113" s="268">
        <v>14.58</v>
      </c>
      <c r="K113" s="292">
        <v>801.5</v>
      </c>
      <c r="L113" s="268">
        <v>1016.86</v>
      </c>
      <c r="M113" s="268">
        <v>1031.44</v>
      </c>
      <c r="N113" s="268">
        <v>102.06</v>
      </c>
      <c r="O113" s="268">
        <v>7118.02</v>
      </c>
      <c r="P113" s="268">
        <v>7220.08</v>
      </c>
      <c r="Q113" s="269">
        <v>2.8999999999999998E-3</v>
      </c>
      <c r="R113" s="44"/>
      <c r="S113" s="49">
        <f t="shared" si="1"/>
        <v>5690.93</v>
      </c>
      <c r="T113" s="126"/>
      <c r="U113" s="48"/>
      <c r="V113" s="48"/>
      <c r="W113" s="48"/>
      <c r="X113" s="48"/>
      <c r="Y113" s="48"/>
      <c r="Z113" s="48"/>
      <c r="AA113" s="48"/>
      <c r="AB113" s="48"/>
      <c r="AC113" s="48"/>
      <c r="AD113" s="48"/>
      <c r="AE113" s="48"/>
      <c r="AF113" s="48"/>
      <c r="AG113" s="48"/>
      <c r="AH113" s="48"/>
      <c r="AI113" s="48"/>
      <c r="AJ113" s="44"/>
      <c r="AK113" s="44"/>
      <c r="AL113" s="44"/>
    </row>
    <row r="114" spans="1:38" x14ac:dyDescent="0.25">
      <c r="A114" s="94"/>
      <c r="B114" s="265" t="s">
        <v>291</v>
      </c>
      <c r="C114" s="266" t="s">
        <v>307</v>
      </c>
      <c r="D114" s="265" t="s">
        <v>146</v>
      </c>
      <c r="E114" s="265" t="s">
        <v>308</v>
      </c>
      <c r="F114" s="267" t="s">
        <v>41</v>
      </c>
      <c r="G114" s="277">
        <v>500.17</v>
      </c>
      <c r="H114" s="268">
        <v>11.67</v>
      </c>
      <c r="I114" s="287">
        <v>7.02</v>
      </c>
      <c r="J114" s="268">
        <v>8.91</v>
      </c>
      <c r="K114" s="292">
        <v>4.6500000000000004</v>
      </c>
      <c r="L114" s="268">
        <v>5.9</v>
      </c>
      <c r="M114" s="268">
        <v>14.81</v>
      </c>
      <c r="N114" s="268">
        <v>4456.51</v>
      </c>
      <c r="O114" s="268">
        <v>2951</v>
      </c>
      <c r="P114" s="268">
        <v>7407.51</v>
      </c>
      <c r="Q114" s="269">
        <v>2.8999999999999998E-3</v>
      </c>
      <c r="R114" s="44"/>
      <c r="S114" s="49">
        <f t="shared" si="1"/>
        <v>5836.98</v>
      </c>
      <c r="T114" s="126"/>
      <c r="U114" s="48"/>
      <c r="V114" s="48"/>
      <c r="W114" s="48"/>
      <c r="X114" s="48"/>
      <c r="Y114" s="48"/>
      <c r="Z114" s="48"/>
      <c r="AA114" s="48"/>
      <c r="AB114" s="48"/>
      <c r="AC114" s="48"/>
      <c r="AD114" s="48"/>
      <c r="AE114" s="48"/>
      <c r="AF114" s="48"/>
      <c r="AG114" s="48"/>
      <c r="AH114" s="48"/>
      <c r="AI114" s="48"/>
      <c r="AJ114" s="44"/>
      <c r="AK114" s="44"/>
      <c r="AL114" s="44"/>
    </row>
    <row r="115" spans="1:38" x14ac:dyDescent="0.25">
      <c r="A115" s="94"/>
      <c r="B115" s="265" t="s">
        <v>1029</v>
      </c>
      <c r="C115" s="266" t="s">
        <v>1192</v>
      </c>
      <c r="D115" s="265" t="s">
        <v>40</v>
      </c>
      <c r="E115" s="265" t="s">
        <v>1193</v>
      </c>
      <c r="F115" s="267" t="s">
        <v>41</v>
      </c>
      <c r="G115" s="277">
        <v>528.80999999999995</v>
      </c>
      <c r="H115" s="268">
        <v>10.71</v>
      </c>
      <c r="I115" s="287">
        <v>5.22</v>
      </c>
      <c r="J115" s="268">
        <v>6.62</v>
      </c>
      <c r="K115" s="292">
        <v>5.49</v>
      </c>
      <c r="L115" s="268">
        <v>6.97</v>
      </c>
      <c r="M115" s="268">
        <v>13.59</v>
      </c>
      <c r="N115" s="268">
        <v>3500.72</v>
      </c>
      <c r="O115" s="268">
        <v>3685.81</v>
      </c>
      <c r="P115" s="268">
        <v>7186.53</v>
      </c>
      <c r="Q115" s="269">
        <v>2.8E-3</v>
      </c>
      <c r="R115" s="44"/>
      <c r="S115" s="49">
        <f t="shared" si="1"/>
        <v>5663.56</v>
      </c>
      <c r="T115" s="126"/>
      <c r="U115" s="48"/>
      <c r="V115" s="48"/>
      <c r="W115" s="48"/>
      <c r="X115" s="48"/>
      <c r="Y115" s="48"/>
      <c r="Z115" s="48"/>
      <c r="AA115" s="48"/>
      <c r="AB115" s="48"/>
      <c r="AC115" s="48"/>
      <c r="AD115" s="48"/>
      <c r="AE115" s="48"/>
      <c r="AF115" s="48"/>
      <c r="AG115" s="48"/>
      <c r="AH115" s="48"/>
      <c r="AI115" s="48"/>
      <c r="AJ115" s="44"/>
      <c r="AK115" s="44"/>
      <c r="AL115" s="44"/>
    </row>
    <row r="116" spans="1:38" ht="27.6" x14ac:dyDescent="0.25">
      <c r="A116" s="94"/>
      <c r="B116" s="265" t="s">
        <v>1322</v>
      </c>
      <c r="C116" s="266" t="s">
        <v>1125</v>
      </c>
      <c r="D116" s="265" t="s">
        <v>199</v>
      </c>
      <c r="E116" s="265" t="s">
        <v>1126</v>
      </c>
      <c r="F116" s="267" t="s">
        <v>168</v>
      </c>
      <c r="G116" s="277">
        <v>8</v>
      </c>
      <c r="H116" s="268">
        <v>697.22</v>
      </c>
      <c r="I116" s="287">
        <v>28.72</v>
      </c>
      <c r="J116" s="268">
        <v>36.44</v>
      </c>
      <c r="K116" s="292">
        <v>668.5</v>
      </c>
      <c r="L116" s="268">
        <v>848.13</v>
      </c>
      <c r="M116" s="268">
        <v>884.57</v>
      </c>
      <c r="N116" s="268">
        <v>291.52</v>
      </c>
      <c r="O116" s="268">
        <v>6785.04</v>
      </c>
      <c r="P116" s="268">
        <v>7076.56</v>
      </c>
      <c r="Q116" s="269">
        <v>2.8E-3</v>
      </c>
      <c r="R116" s="44"/>
      <c r="S116" s="49">
        <f t="shared" si="1"/>
        <v>5577.76</v>
      </c>
      <c r="T116" s="126"/>
      <c r="U116" s="48"/>
      <c r="V116" s="48"/>
      <c r="W116" s="48"/>
      <c r="X116" s="48"/>
      <c r="Y116" s="48"/>
      <c r="Z116" s="48"/>
      <c r="AA116" s="48"/>
      <c r="AB116" s="48"/>
      <c r="AC116" s="48"/>
      <c r="AD116" s="48"/>
      <c r="AE116" s="48"/>
      <c r="AF116" s="48"/>
      <c r="AG116" s="48"/>
      <c r="AH116" s="48"/>
      <c r="AI116" s="48"/>
      <c r="AJ116" s="44"/>
      <c r="AK116" s="44"/>
      <c r="AL116" s="44"/>
    </row>
    <row r="117" spans="1:38" ht="27.6" x14ac:dyDescent="0.25">
      <c r="A117" s="94"/>
      <c r="B117" s="265" t="s">
        <v>1329</v>
      </c>
      <c r="C117" s="266" t="s">
        <v>1544</v>
      </c>
      <c r="D117" s="265" t="s">
        <v>551</v>
      </c>
      <c r="E117" s="265" t="s">
        <v>1545</v>
      </c>
      <c r="F117" s="267" t="s">
        <v>55</v>
      </c>
      <c r="G117" s="277">
        <v>71.599999999999994</v>
      </c>
      <c r="H117" s="268">
        <v>77.709999999999994</v>
      </c>
      <c r="I117" s="287">
        <v>49.54</v>
      </c>
      <c r="J117" s="268">
        <v>62.85</v>
      </c>
      <c r="K117" s="292">
        <v>28.17</v>
      </c>
      <c r="L117" s="268">
        <v>35.74</v>
      </c>
      <c r="M117" s="268">
        <v>98.59</v>
      </c>
      <c r="N117" s="268">
        <v>4500.0600000000004</v>
      </c>
      <c r="O117" s="268">
        <v>2558.98</v>
      </c>
      <c r="P117" s="268">
        <v>7059.04</v>
      </c>
      <c r="Q117" s="269">
        <v>2.8E-3</v>
      </c>
      <c r="R117" s="44"/>
      <c r="S117" s="49">
        <f t="shared" si="1"/>
        <v>5564.04</v>
      </c>
      <c r="T117" s="126"/>
      <c r="U117" s="48"/>
      <c r="V117" s="48"/>
      <c r="W117" s="48"/>
      <c r="X117" s="48"/>
      <c r="Y117" s="48"/>
      <c r="Z117" s="48"/>
      <c r="AA117" s="48"/>
      <c r="AB117" s="48"/>
      <c r="AC117" s="48"/>
      <c r="AD117" s="48"/>
      <c r="AE117" s="48"/>
      <c r="AF117" s="48"/>
      <c r="AG117" s="48"/>
      <c r="AH117" s="48"/>
      <c r="AI117" s="48"/>
      <c r="AJ117" s="44"/>
      <c r="AK117" s="44"/>
      <c r="AL117" s="44"/>
    </row>
    <row r="118" spans="1:38" ht="27.6" x14ac:dyDescent="0.25">
      <c r="A118" s="94"/>
      <c r="B118" s="265" t="s">
        <v>96</v>
      </c>
      <c r="C118" s="266">
        <v>92759</v>
      </c>
      <c r="D118" s="265" t="s">
        <v>40</v>
      </c>
      <c r="E118" s="265" t="s">
        <v>98</v>
      </c>
      <c r="F118" s="267" t="s">
        <v>65</v>
      </c>
      <c r="G118" s="277">
        <v>391.4</v>
      </c>
      <c r="H118" s="268">
        <v>13.92</v>
      </c>
      <c r="I118" s="287">
        <v>3.41</v>
      </c>
      <c r="J118" s="268">
        <v>4.33</v>
      </c>
      <c r="K118" s="292">
        <v>10.51</v>
      </c>
      <c r="L118" s="268">
        <v>13.33</v>
      </c>
      <c r="M118" s="268">
        <v>17.66</v>
      </c>
      <c r="N118" s="268">
        <v>1694.76</v>
      </c>
      <c r="O118" s="268">
        <v>5217.3599999999997</v>
      </c>
      <c r="P118" s="268">
        <v>6912.12</v>
      </c>
      <c r="Q118" s="269">
        <v>2.7000000000000001E-3</v>
      </c>
      <c r="R118" s="44"/>
      <c r="S118" s="49">
        <f t="shared" si="1"/>
        <v>5448.29</v>
      </c>
      <c r="T118" s="126"/>
      <c r="U118" s="48"/>
      <c r="V118" s="48"/>
      <c r="W118" s="48"/>
      <c r="X118" s="48"/>
      <c r="Y118" s="48"/>
      <c r="Z118" s="48"/>
      <c r="AA118" s="48"/>
      <c r="AB118" s="48"/>
      <c r="AC118" s="48"/>
      <c r="AD118" s="48"/>
      <c r="AE118" s="48"/>
      <c r="AF118" s="48"/>
      <c r="AG118" s="48"/>
      <c r="AH118" s="48"/>
      <c r="AI118" s="48"/>
      <c r="AJ118" s="44"/>
      <c r="AK118" s="44"/>
      <c r="AL118" s="44"/>
    </row>
    <row r="119" spans="1:38" x14ac:dyDescent="0.25">
      <c r="A119" s="94"/>
      <c r="B119" s="265" t="s">
        <v>1321</v>
      </c>
      <c r="C119" s="266" t="s">
        <v>707</v>
      </c>
      <c r="D119" s="265" t="s">
        <v>51</v>
      </c>
      <c r="E119" s="265" t="s">
        <v>708</v>
      </c>
      <c r="F119" s="267" t="s">
        <v>44</v>
      </c>
      <c r="G119" s="277">
        <v>18</v>
      </c>
      <c r="H119" s="268">
        <v>302.79000000000002</v>
      </c>
      <c r="I119" s="287">
        <v>15.17</v>
      </c>
      <c r="J119" s="268">
        <v>19.25</v>
      </c>
      <c r="K119" s="292">
        <v>287.62</v>
      </c>
      <c r="L119" s="268">
        <v>364.9</v>
      </c>
      <c r="M119" s="268">
        <v>384.15</v>
      </c>
      <c r="N119" s="268">
        <v>346.5</v>
      </c>
      <c r="O119" s="268">
        <v>6568.2</v>
      </c>
      <c r="P119" s="268">
        <v>6914.7</v>
      </c>
      <c r="Q119" s="269">
        <v>2.7000000000000001E-3</v>
      </c>
      <c r="R119" s="44"/>
      <c r="S119" s="49">
        <f t="shared" si="1"/>
        <v>5450.22</v>
      </c>
      <c r="T119" s="126"/>
      <c r="U119" s="48"/>
      <c r="V119" s="48"/>
      <c r="W119" s="48"/>
      <c r="X119" s="48"/>
      <c r="Y119" s="48"/>
      <c r="Z119" s="48"/>
      <c r="AA119" s="48"/>
      <c r="AB119" s="48"/>
      <c r="AC119" s="48"/>
      <c r="AD119" s="48"/>
      <c r="AE119" s="48"/>
      <c r="AF119" s="48"/>
      <c r="AG119" s="48"/>
      <c r="AH119" s="48"/>
      <c r="AI119" s="48"/>
      <c r="AJ119" s="44"/>
      <c r="AK119" s="44"/>
      <c r="AL119" s="44"/>
    </row>
    <row r="120" spans="1:38" ht="27.6" x14ac:dyDescent="0.25">
      <c r="A120" s="94"/>
      <c r="B120" s="265" t="s">
        <v>844</v>
      </c>
      <c r="C120" s="266" t="s">
        <v>340</v>
      </c>
      <c r="D120" s="265" t="s">
        <v>40</v>
      </c>
      <c r="E120" s="265" t="s">
        <v>341</v>
      </c>
      <c r="F120" s="267" t="s">
        <v>44</v>
      </c>
      <c r="G120" s="277">
        <v>305</v>
      </c>
      <c r="H120" s="268">
        <v>16.829999999999998</v>
      </c>
      <c r="I120" s="287">
        <v>10.029999999999999</v>
      </c>
      <c r="J120" s="268">
        <v>12.73</v>
      </c>
      <c r="K120" s="292">
        <v>6.8</v>
      </c>
      <c r="L120" s="268">
        <v>8.6300000000000008</v>
      </c>
      <c r="M120" s="268">
        <v>21.36</v>
      </c>
      <c r="N120" s="268">
        <v>3882.65</v>
      </c>
      <c r="O120" s="268">
        <v>2632.15</v>
      </c>
      <c r="P120" s="268">
        <v>6514.8</v>
      </c>
      <c r="Q120" s="269">
        <v>2.5999999999999999E-3</v>
      </c>
      <c r="R120" s="44"/>
      <c r="S120" s="49">
        <f t="shared" si="1"/>
        <v>5133.1499999999996</v>
      </c>
      <c r="T120" s="126"/>
      <c r="U120" s="48"/>
      <c r="V120" s="48"/>
      <c r="W120" s="48"/>
      <c r="X120" s="48"/>
      <c r="Y120" s="48"/>
      <c r="Z120" s="48"/>
      <c r="AA120" s="48"/>
      <c r="AB120" s="48"/>
      <c r="AC120" s="48"/>
      <c r="AD120" s="48"/>
      <c r="AE120" s="48"/>
      <c r="AF120" s="48"/>
      <c r="AG120" s="48"/>
      <c r="AH120" s="48"/>
      <c r="AI120" s="48"/>
      <c r="AJ120" s="44"/>
      <c r="AK120" s="44"/>
      <c r="AL120" s="44"/>
    </row>
    <row r="121" spans="1:38" ht="27.6" x14ac:dyDescent="0.25">
      <c r="A121" s="94"/>
      <c r="B121" s="265" t="s">
        <v>1558</v>
      </c>
      <c r="C121" s="266" t="s">
        <v>716</v>
      </c>
      <c r="D121" s="265" t="s">
        <v>40</v>
      </c>
      <c r="E121" s="265" t="s">
        <v>717</v>
      </c>
      <c r="F121" s="267" t="s">
        <v>55</v>
      </c>
      <c r="G121" s="277">
        <v>262.10000000000002</v>
      </c>
      <c r="H121" s="268">
        <v>19.670000000000002</v>
      </c>
      <c r="I121" s="287">
        <v>5.48</v>
      </c>
      <c r="J121" s="268">
        <v>6.95</v>
      </c>
      <c r="K121" s="292">
        <v>14.19</v>
      </c>
      <c r="L121" s="268">
        <v>18</v>
      </c>
      <c r="M121" s="268">
        <v>24.95</v>
      </c>
      <c r="N121" s="268">
        <v>1821.6</v>
      </c>
      <c r="O121" s="268">
        <v>4717.8</v>
      </c>
      <c r="P121" s="268">
        <v>6539.4</v>
      </c>
      <c r="Q121" s="269">
        <v>2.5999999999999999E-3</v>
      </c>
      <c r="R121" s="44"/>
      <c r="S121" s="49">
        <f t="shared" si="1"/>
        <v>5155.51</v>
      </c>
      <c r="T121" s="126"/>
      <c r="U121" s="48"/>
      <c r="V121" s="48"/>
      <c r="W121" s="48"/>
      <c r="X121" s="48"/>
      <c r="Y121" s="48"/>
      <c r="Z121" s="48"/>
      <c r="AA121" s="48"/>
      <c r="AB121" s="48"/>
      <c r="AC121" s="48"/>
      <c r="AD121" s="48"/>
      <c r="AE121" s="48"/>
      <c r="AF121" s="48"/>
      <c r="AG121" s="48"/>
      <c r="AH121" s="48"/>
      <c r="AI121" s="48"/>
      <c r="AJ121" s="44"/>
      <c r="AK121" s="44"/>
      <c r="AL121" s="44"/>
    </row>
    <row r="122" spans="1:38" x14ac:dyDescent="0.25">
      <c r="A122" s="94"/>
      <c r="B122" s="265" t="s">
        <v>642</v>
      </c>
      <c r="C122" s="266" t="s">
        <v>1156</v>
      </c>
      <c r="D122" s="265" t="s">
        <v>51</v>
      </c>
      <c r="E122" s="265" t="s">
        <v>1157</v>
      </c>
      <c r="F122" s="267" t="s">
        <v>44</v>
      </c>
      <c r="G122" s="277">
        <v>1</v>
      </c>
      <c r="H122" s="268">
        <v>5283.02</v>
      </c>
      <c r="I122" s="287">
        <v>108.03</v>
      </c>
      <c r="J122" s="268">
        <v>128.63</v>
      </c>
      <c r="K122" s="292">
        <v>5174.99</v>
      </c>
      <c r="L122" s="268">
        <v>6161.86</v>
      </c>
      <c r="M122" s="268">
        <v>6290.49</v>
      </c>
      <c r="N122" s="268">
        <v>128.63</v>
      </c>
      <c r="O122" s="268">
        <v>6161.86</v>
      </c>
      <c r="P122" s="268">
        <v>6290.49</v>
      </c>
      <c r="Q122" s="269">
        <v>2.5000000000000001E-3</v>
      </c>
      <c r="R122" s="44"/>
      <c r="S122" s="49">
        <f t="shared" si="1"/>
        <v>5283.02</v>
      </c>
      <c r="T122" s="126"/>
      <c r="U122" s="48"/>
      <c r="V122" s="48"/>
      <c r="W122" s="48"/>
      <c r="X122" s="48"/>
      <c r="Y122" s="48"/>
      <c r="Z122" s="48"/>
      <c r="AA122" s="48"/>
      <c r="AB122" s="48"/>
      <c r="AC122" s="48"/>
      <c r="AD122" s="48"/>
      <c r="AE122" s="48"/>
      <c r="AF122" s="48"/>
      <c r="AG122" s="48"/>
      <c r="AH122" s="48"/>
      <c r="AI122" s="48"/>
      <c r="AJ122" s="44"/>
      <c r="AK122" s="44"/>
      <c r="AL122" s="44"/>
    </row>
    <row r="123" spans="1:38" ht="27.6" x14ac:dyDescent="0.25">
      <c r="A123" s="94"/>
      <c r="B123" s="265" t="s">
        <v>284</v>
      </c>
      <c r="C123" s="266" t="s">
        <v>299</v>
      </c>
      <c r="D123" s="265" t="s">
        <v>40</v>
      </c>
      <c r="E123" s="265" t="s">
        <v>300</v>
      </c>
      <c r="F123" s="267" t="s">
        <v>55</v>
      </c>
      <c r="G123" s="277">
        <v>80</v>
      </c>
      <c r="H123" s="268">
        <v>61.09</v>
      </c>
      <c r="I123" s="287">
        <v>9.6300000000000008</v>
      </c>
      <c r="J123" s="268">
        <v>12.22</v>
      </c>
      <c r="K123" s="292">
        <v>51.46</v>
      </c>
      <c r="L123" s="268">
        <v>65.290000000000006</v>
      </c>
      <c r="M123" s="268">
        <v>77.510000000000005</v>
      </c>
      <c r="N123" s="268">
        <v>977.6</v>
      </c>
      <c r="O123" s="268">
        <v>5223.2</v>
      </c>
      <c r="P123" s="268">
        <v>6200.8</v>
      </c>
      <c r="Q123" s="269">
        <v>2.5000000000000001E-3</v>
      </c>
      <c r="R123" s="44"/>
      <c r="S123" s="49">
        <f t="shared" si="1"/>
        <v>4887.2</v>
      </c>
      <c r="T123" s="126"/>
      <c r="U123" s="48"/>
      <c r="V123" s="48"/>
      <c r="W123" s="48"/>
      <c r="X123" s="48"/>
      <c r="Y123" s="48"/>
      <c r="Z123" s="48"/>
      <c r="AA123" s="48"/>
      <c r="AB123" s="48"/>
      <c r="AC123" s="48"/>
      <c r="AD123" s="48"/>
      <c r="AE123" s="48"/>
      <c r="AF123" s="48"/>
      <c r="AG123" s="48"/>
      <c r="AH123" s="48"/>
      <c r="AI123" s="48"/>
      <c r="AJ123" s="44"/>
      <c r="AK123" s="44"/>
      <c r="AL123" s="44"/>
    </row>
    <row r="124" spans="1:38" ht="27.6" x14ac:dyDescent="0.25">
      <c r="A124" s="94"/>
      <c r="B124" s="265" t="s">
        <v>113</v>
      </c>
      <c r="C124" s="266" t="s">
        <v>94</v>
      </c>
      <c r="D124" s="265" t="s">
        <v>40</v>
      </c>
      <c r="E124" s="265" t="s">
        <v>95</v>
      </c>
      <c r="F124" s="267" t="s">
        <v>65</v>
      </c>
      <c r="G124" s="277">
        <v>501.2</v>
      </c>
      <c r="H124" s="268">
        <v>9.4499999999999993</v>
      </c>
      <c r="I124" s="287">
        <v>0.43</v>
      </c>
      <c r="J124" s="268">
        <v>0.55000000000000004</v>
      </c>
      <c r="K124" s="292">
        <v>9.02</v>
      </c>
      <c r="L124" s="268">
        <v>11.44</v>
      </c>
      <c r="M124" s="268">
        <v>11.99</v>
      </c>
      <c r="N124" s="268">
        <v>275.66000000000003</v>
      </c>
      <c r="O124" s="268">
        <v>5733.73</v>
      </c>
      <c r="P124" s="268">
        <v>6009.39</v>
      </c>
      <c r="Q124" s="269">
        <v>2.3999999999999998E-3</v>
      </c>
      <c r="R124" s="44"/>
      <c r="S124" s="49">
        <f t="shared" si="1"/>
        <v>4736.34</v>
      </c>
      <c r="T124" s="126"/>
      <c r="U124" s="48"/>
      <c r="V124" s="48"/>
      <c r="W124" s="48"/>
      <c r="X124" s="48"/>
      <c r="Y124" s="48"/>
      <c r="Z124" s="48"/>
      <c r="AA124" s="48"/>
      <c r="AB124" s="48"/>
      <c r="AC124" s="48"/>
      <c r="AD124" s="48"/>
      <c r="AE124" s="48"/>
      <c r="AF124" s="48"/>
      <c r="AG124" s="48"/>
      <c r="AH124" s="48"/>
      <c r="AI124" s="48"/>
      <c r="AJ124" s="44"/>
      <c r="AK124" s="44"/>
      <c r="AL124" s="44"/>
    </row>
    <row r="125" spans="1:38" ht="27.6" x14ac:dyDescent="0.25">
      <c r="A125" s="94"/>
      <c r="B125" s="265" t="s">
        <v>118</v>
      </c>
      <c r="C125" s="266" t="s">
        <v>1004</v>
      </c>
      <c r="D125" s="265" t="s">
        <v>40</v>
      </c>
      <c r="E125" s="265" t="s">
        <v>1005</v>
      </c>
      <c r="F125" s="267" t="s">
        <v>41</v>
      </c>
      <c r="G125" s="277">
        <v>60.6</v>
      </c>
      <c r="H125" s="268">
        <v>80.02</v>
      </c>
      <c r="I125" s="287">
        <v>21.5</v>
      </c>
      <c r="J125" s="268">
        <v>27.28</v>
      </c>
      <c r="K125" s="292">
        <v>58.52</v>
      </c>
      <c r="L125" s="268">
        <v>74.239999999999995</v>
      </c>
      <c r="M125" s="268">
        <v>101.52</v>
      </c>
      <c r="N125" s="268">
        <v>1653.17</v>
      </c>
      <c r="O125" s="268">
        <v>4498.9399999999996</v>
      </c>
      <c r="P125" s="268">
        <v>6152.11</v>
      </c>
      <c r="Q125" s="269">
        <v>2.3999999999999998E-3</v>
      </c>
      <c r="R125" s="44"/>
      <c r="S125" s="49">
        <f t="shared" si="1"/>
        <v>4849.21</v>
      </c>
      <c r="T125" s="126"/>
      <c r="U125" s="48"/>
      <c r="V125" s="48"/>
      <c r="W125" s="48"/>
      <c r="X125" s="48"/>
      <c r="Y125" s="48"/>
      <c r="Z125" s="48"/>
      <c r="AA125" s="48"/>
      <c r="AB125" s="48"/>
      <c r="AC125" s="48"/>
      <c r="AD125" s="48"/>
      <c r="AE125" s="48"/>
      <c r="AF125" s="48"/>
      <c r="AG125" s="48"/>
      <c r="AH125" s="48"/>
      <c r="AI125" s="48"/>
      <c r="AJ125" s="44"/>
      <c r="AK125" s="44"/>
      <c r="AL125" s="44"/>
    </row>
    <row r="126" spans="1:38" ht="27.6" x14ac:dyDescent="0.25">
      <c r="A126" s="94"/>
      <c r="B126" s="265" t="s">
        <v>119</v>
      </c>
      <c r="C126" s="266" t="s">
        <v>121</v>
      </c>
      <c r="D126" s="265" t="s">
        <v>40</v>
      </c>
      <c r="E126" s="265" t="s">
        <v>122</v>
      </c>
      <c r="F126" s="267" t="s">
        <v>65</v>
      </c>
      <c r="G126" s="277">
        <v>352.8</v>
      </c>
      <c r="H126" s="268">
        <v>13.49</v>
      </c>
      <c r="I126" s="287">
        <v>2.93</v>
      </c>
      <c r="J126" s="268">
        <v>3.72</v>
      </c>
      <c r="K126" s="292">
        <v>10.56</v>
      </c>
      <c r="L126" s="268">
        <v>13.4</v>
      </c>
      <c r="M126" s="268">
        <v>17.12</v>
      </c>
      <c r="N126" s="268">
        <v>1312.42</v>
      </c>
      <c r="O126" s="268">
        <v>4727.5200000000004</v>
      </c>
      <c r="P126" s="268">
        <v>6039.94</v>
      </c>
      <c r="Q126" s="269">
        <v>2.3999999999999998E-3</v>
      </c>
      <c r="R126" s="44"/>
      <c r="S126" s="49">
        <f t="shared" si="1"/>
        <v>4759.2700000000004</v>
      </c>
      <c r="T126" s="126"/>
      <c r="U126" s="48"/>
      <c r="V126" s="48"/>
      <c r="W126" s="48"/>
      <c r="X126" s="48"/>
      <c r="Y126" s="48"/>
      <c r="Z126" s="48"/>
      <c r="AA126" s="48"/>
      <c r="AB126" s="48"/>
      <c r="AC126" s="48"/>
      <c r="AD126" s="48"/>
      <c r="AE126" s="48"/>
      <c r="AF126" s="48"/>
      <c r="AG126" s="48"/>
      <c r="AH126" s="48"/>
      <c r="AI126" s="48"/>
      <c r="AJ126" s="44"/>
      <c r="AK126" s="44"/>
      <c r="AL126" s="44"/>
    </row>
    <row r="127" spans="1:38" ht="27.6" x14ac:dyDescent="0.25">
      <c r="A127" s="94"/>
      <c r="B127" s="265" t="s">
        <v>1291</v>
      </c>
      <c r="C127" s="266" t="s">
        <v>661</v>
      </c>
      <c r="D127" s="265" t="s">
        <v>199</v>
      </c>
      <c r="E127" s="265" t="s">
        <v>770</v>
      </c>
      <c r="F127" s="267" t="s">
        <v>240</v>
      </c>
      <c r="G127" s="277">
        <v>117</v>
      </c>
      <c r="H127" s="268">
        <v>40.130000000000003</v>
      </c>
      <c r="I127" s="287">
        <v>22.83</v>
      </c>
      <c r="J127" s="268">
        <v>28.96</v>
      </c>
      <c r="K127" s="292">
        <v>17.3</v>
      </c>
      <c r="L127" s="268">
        <v>21.95</v>
      </c>
      <c r="M127" s="268">
        <v>50.91</v>
      </c>
      <c r="N127" s="268">
        <v>3388.32</v>
      </c>
      <c r="O127" s="268">
        <v>2568.15</v>
      </c>
      <c r="P127" s="268">
        <v>5956.47</v>
      </c>
      <c r="Q127" s="269">
        <v>2.3999999999999998E-3</v>
      </c>
      <c r="R127" s="44"/>
      <c r="S127" s="49">
        <f t="shared" si="1"/>
        <v>4695.21</v>
      </c>
      <c r="T127" s="126"/>
      <c r="U127" s="48"/>
      <c r="V127" s="48"/>
      <c r="W127" s="48"/>
      <c r="X127" s="48"/>
      <c r="Y127" s="48"/>
      <c r="Z127" s="48"/>
      <c r="AA127" s="48"/>
      <c r="AB127" s="48"/>
      <c r="AC127" s="48"/>
      <c r="AD127" s="48"/>
      <c r="AE127" s="48"/>
      <c r="AF127" s="48"/>
      <c r="AG127" s="48"/>
      <c r="AH127" s="48"/>
      <c r="AI127" s="48"/>
      <c r="AJ127" s="44"/>
      <c r="AK127" s="44"/>
      <c r="AL127" s="44"/>
    </row>
    <row r="128" spans="1:38" ht="27.6" x14ac:dyDescent="0.25">
      <c r="A128" s="94"/>
      <c r="B128" s="265" t="s">
        <v>71</v>
      </c>
      <c r="C128" s="266" t="s">
        <v>992</v>
      </c>
      <c r="D128" s="265" t="s">
        <v>40</v>
      </c>
      <c r="E128" s="265" t="s">
        <v>993</v>
      </c>
      <c r="F128" s="267" t="s">
        <v>65</v>
      </c>
      <c r="G128" s="277">
        <v>425.3</v>
      </c>
      <c r="H128" s="268">
        <v>11.01</v>
      </c>
      <c r="I128" s="287">
        <v>1.62</v>
      </c>
      <c r="J128" s="268">
        <v>2.06</v>
      </c>
      <c r="K128" s="292">
        <v>9.39</v>
      </c>
      <c r="L128" s="268">
        <v>11.91</v>
      </c>
      <c r="M128" s="268">
        <v>13.97</v>
      </c>
      <c r="N128" s="268">
        <v>876.12</v>
      </c>
      <c r="O128" s="268">
        <v>5065.32</v>
      </c>
      <c r="P128" s="268">
        <v>5941.44</v>
      </c>
      <c r="Q128" s="269">
        <v>2.3E-3</v>
      </c>
      <c r="R128" s="44"/>
      <c r="S128" s="49">
        <f t="shared" si="1"/>
        <v>4682.55</v>
      </c>
      <c r="T128" s="126"/>
      <c r="U128" s="48"/>
      <c r="V128" s="48"/>
      <c r="W128" s="48"/>
      <c r="X128" s="48"/>
      <c r="Y128" s="48"/>
      <c r="Z128" s="48"/>
      <c r="AA128" s="48"/>
      <c r="AB128" s="48"/>
      <c r="AC128" s="48"/>
      <c r="AD128" s="48"/>
      <c r="AE128" s="48"/>
      <c r="AF128" s="48"/>
      <c r="AG128" s="48"/>
      <c r="AH128" s="48"/>
      <c r="AI128" s="48"/>
      <c r="AJ128" s="44"/>
      <c r="AK128" s="44"/>
      <c r="AL128" s="44"/>
    </row>
    <row r="129" spans="1:38" ht="27.6" x14ac:dyDescent="0.25">
      <c r="A129" s="94"/>
      <c r="B129" s="265" t="s">
        <v>526</v>
      </c>
      <c r="C129" s="266">
        <v>93200</v>
      </c>
      <c r="D129" s="265" t="s">
        <v>40</v>
      </c>
      <c r="E129" s="265" t="s">
        <v>1645</v>
      </c>
      <c r="F129" s="267" t="s">
        <v>55</v>
      </c>
      <c r="G129" s="277">
        <v>451.95</v>
      </c>
      <c r="H129" s="268">
        <v>10.32</v>
      </c>
      <c r="I129" s="287">
        <v>6.52</v>
      </c>
      <c r="J129" s="268">
        <v>8.27</v>
      </c>
      <c r="K129" s="292">
        <v>3.8</v>
      </c>
      <c r="L129" s="268">
        <v>4.82</v>
      </c>
      <c r="M129" s="268">
        <v>13.09</v>
      </c>
      <c r="N129" s="268">
        <v>3737.63</v>
      </c>
      <c r="O129" s="268">
        <v>2178.4</v>
      </c>
      <c r="P129" s="268">
        <v>5916.03</v>
      </c>
      <c r="Q129" s="269">
        <v>2.3E-3</v>
      </c>
      <c r="R129" s="44"/>
      <c r="S129" s="49">
        <f t="shared" si="1"/>
        <v>4664.12</v>
      </c>
      <c r="T129" s="126"/>
      <c r="U129" s="48"/>
      <c r="V129" s="48"/>
      <c r="W129" s="48"/>
      <c r="X129" s="48"/>
      <c r="Y129" s="48"/>
      <c r="Z129" s="48"/>
      <c r="AA129" s="48"/>
      <c r="AB129" s="48"/>
      <c r="AC129" s="48"/>
      <c r="AD129" s="48"/>
      <c r="AE129" s="48"/>
      <c r="AF129" s="48"/>
      <c r="AG129" s="48"/>
      <c r="AH129" s="48"/>
      <c r="AI129" s="48"/>
      <c r="AJ129" s="44"/>
      <c r="AK129" s="44"/>
      <c r="AL129" s="44"/>
    </row>
    <row r="130" spans="1:38" ht="41.4" x14ac:dyDescent="0.25">
      <c r="A130" s="94"/>
      <c r="B130" s="265" t="s">
        <v>527</v>
      </c>
      <c r="C130" s="266" t="s">
        <v>528</v>
      </c>
      <c r="D130" s="265" t="s">
        <v>40</v>
      </c>
      <c r="E130" s="265" t="s">
        <v>529</v>
      </c>
      <c r="F130" s="267" t="s">
        <v>41</v>
      </c>
      <c r="G130" s="277">
        <v>50.01</v>
      </c>
      <c r="H130" s="268">
        <v>93.55</v>
      </c>
      <c r="I130" s="287">
        <v>12.51</v>
      </c>
      <c r="J130" s="268">
        <v>15.87</v>
      </c>
      <c r="K130" s="292">
        <v>81.040000000000006</v>
      </c>
      <c r="L130" s="268">
        <v>102.82</v>
      </c>
      <c r="M130" s="268">
        <v>118.69</v>
      </c>
      <c r="N130" s="268">
        <v>793.66</v>
      </c>
      <c r="O130" s="268">
        <v>5142.03</v>
      </c>
      <c r="P130" s="268">
        <v>5935.69</v>
      </c>
      <c r="Q130" s="269">
        <v>2.3E-3</v>
      </c>
      <c r="R130" s="44"/>
      <c r="S130" s="49">
        <f t="shared" si="1"/>
        <v>4678.4399999999996</v>
      </c>
      <c r="T130" s="126"/>
      <c r="U130" s="48"/>
      <c r="V130" s="48"/>
      <c r="W130" s="48"/>
      <c r="X130" s="48"/>
      <c r="Y130" s="48"/>
      <c r="Z130" s="48"/>
      <c r="AA130" s="48"/>
      <c r="AB130" s="48"/>
      <c r="AC130" s="48"/>
      <c r="AD130" s="48"/>
      <c r="AE130" s="48"/>
      <c r="AF130" s="48"/>
      <c r="AG130" s="48"/>
      <c r="AH130" s="48"/>
      <c r="AI130" s="48"/>
      <c r="AJ130" s="44"/>
      <c r="AK130" s="44"/>
      <c r="AL130" s="44"/>
    </row>
    <row r="131" spans="1:38" x14ac:dyDescent="0.25">
      <c r="A131" s="94"/>
      <c r="B131" s="265" t="s">
        <v>1240</v>
      </c>
      <c r="C131" s="266" t="s">
        <v>1102</v>
      </c>
      <c r="D131" s="265" t="s">
        <v>146</v>
      </c>
      <c r="E131" s="265" t="s">
        <v>1103</v>
      </c>
      <c r="F131" s="267" t="s">
        <v>168</v>
      </c>
      <c r="G131" s="277">
        <v>7</v>
      </c>
      <c r="H131" s="268">
        <v>643.75</v>
      </c>
      <c r="I131" s="287">
        <v>309.76</v>
      </c>
      <c r="J131" s="268">
        <v>392.99</v>
      </c>
      <c r="K131" s="292">
        <v>333.99</v>
      </c>
      <c r="L131" s="268">
        <v>423.73</v>
      </c>
      <c r="M131" s="268">
        <v>816.72</v>
      </c>
      <c r="N131" s="268">
        <v>2750.93</v>
      </c>
      <c r="O131" s="268">
        <v>2966.11</v>
      </c>
      <c r="P131" s="268">
        <v>5717.04</v>
      </c>
      <c r="Q131" s="269">
        <v>2.3E-3</v>
      </c>
      <c r="R131" s="44"/>
      <c r="S131" s="49">
        <f t="shared" si="1"/>
        <v>4506.25</v>
      </c>
      <c r="T131" s="126"/>
      <c r="U131" s="48"/>
      <c r="V131" s="48"/>
      <c r="W131" s="48"/>
      <c r="X131" s="48"/>
      <c r="Y131" s="48"/>
      <c r="Z131" s="48"/>
      <c r="AA131" s="48"/>
      <c r="AB131" s="48"/>
      <c r="AC131" s="48"/>
      <c r="AD131" s="48"/>
      <c r="AE131" s="48"/>
      <c r="AF131" s="48"/>
      <c r="AG131" s="48"/>
      <c r="AH131" s="48"/>
      <c r="AI131" s="48"/>
      <c r="AJ131" s="44"/>
      <c r="AK131" s="44"/>
      <c r="AL131" s="44"/>
    </row>
    <row r="132" spans="1:38" ht="27.6" x14ac:dyDescent="0.25">
      <c r="A132" s="94"/>
      <c r="B132" s="265" t="s">
        <v>1099</v>
      </c>
      <c r="C132" s="266">
        <v>92002</v>
      </c>
      <c r="D132" s="265" t="s">
        <v>40</v>
      </c>
      <c r="E132" s="265" t="s">
        <v>698</v>
      </c>
      <c r="F132" s="267" t="s">
        <v>44</v>
      </c>
      <c r="G132" s="277">
        <v>112</v>
      </c>
      <c r="H132" s="268">
        <v>39.549999999999997</v>
      </c>
      <c r="I132" s="287">
        <v>19.41</v>
      </c>
      <c r="J132" s="268">
        <v>24.63</v>
      </c>
      <c r="K132" s="292">
        <v>20.14</v>
      </c>
      <c r="L132" s="268">
        <v>25.55</v>
      </c>
      <c r="M132" s="268">
        <v>50.18</v>
      </c>
      <c r="N132" s="268">
        <v>2758.56</v>
      </c>
      <c r="O132" s="268">
        <v>2861.6</v>
      </c>
      <c r="P132" s="268">
        <v>5620.16</v>
      </c>
      <c r="Q132" s="269">
        <v>2.2000000000000001E-3</v>
      </c>
      <c r="R132" s="44"/>
      <c r="S132" s="49">
        <f t="shared" si="1"/>
        <v>4429.6000000000004</v>
      </c>
      <c r="T132" s="126"/>
      <c r="U132" s="48"/>
      <c r="V132" s="48"/>
      <c r="W132" s="48"/>
      <c r="X132" s="48"/>
      <c r="Y132" s="48"/>
      <c r="Z132" s="48"/>
      <c r="AA132" s="48"/>
      <c r="AB132" s="48"/>
      <c r="AC132" s="48"/>
      <c r="AD132" s="48"/>
      <c r="AE132" s="48"/>
      <c r="AF132" s="48"/>
      <c r="AG132" s="48"/>
      <c r="AH132" s="48"/>
      <c r="AI132" s="48"/>
      <c r="AJ132" s="44"/>
      <c r="AK132" s="44"/>
      <c r="AL132" s="44"/>
    </row>
    <row r="133" spans="1:38" x14ac:dyDescent="0.25">
      <c r="A133" s="94"/>
      <c r="B133" s="265" t="s">
        <v>515</v>
      </c>
      <c r="C133" s="266" t="s">
        <v>1445</v>
      </c>
      <c r="D133" s="265" t="s">
        <v>51</v>
      </c>
      <c r="E133" s="265" t="s">
        <v>1446</v>
      </c>
      <c r="F133" s="267" t="s">
        <v>44</v>
      </c>
      <c r="G133" s="277">
        <v>1</v>
      </c>
      <c r="H133" s="268">
        <v>4125.95</v>
      </c>
      <c r="I133" s="287">
        <v>4125.95</v>
      </c>
      <c r="J133" s="268">
        <v>5234.59</v>
      </c>
      <c r="K133" s="292">
        <v>0</v>
      </c>
      <c r="L133" s="268">
        <v>0</v>
      </c>
      <c r="M133" s="268">
        <v>5234.59</v>
      </c>
      <c r="N133" s="268">
        <v>5234.59</v>
      </c>
      <c r="O133" s="268">
        <v>0</v>
      </c>
      <c r="P133" s="268">
        <v>5234.59</v>
      </c>
      <c r="Q133" s="269">
        <v>2.0999999999999999E-3</v>
      </c>
      <c r="R133" s="44"/>
      <c r="S133" s="49">
        <f t="shared" si="1"/>
        <v>4125.95</v>
      </c>
      <c r="T133" s="126"/>
      <c r="U133" s="48"/>
      <c r="V133" s="48"/>
      <c r="W133" s="48"/>
      <c r="X133" s="48"/>
      <c r="Y133" s="48"/>
      <c r="Z133" s="48"/>
      <c r="AA133" s="48"/>
      <c r="AB133" s="48"/>
      <c r="AC133" s="48"/>
      <c r="AD133" s="48"/>
      <c r="AE133" s="48"/>
      <c r="AF133" s="48"/>
      <c r="AG133" s="48"/>
      <c r="AH133" s="48"/>
      <c r="AI133" s="48"/>
      <c r="AJ133" s="44"/>
      <c r="AK133" s="44"/>
      <c r="AL133" s="44"/>
    </row>
    <row r="134" spans="1:38" ht="27.6" x14ac:dyDescent="0.25">
      <c r="A134" s="94"/>
      <c r="B134" s="265" t="s">
        <v>525</v>
      </c>
      <c r="C134" s="266" t="s">
        <v>138</v>
      </c>
      <c r="D134" s="265" t="s">
        <v>40</v>
      </c>
      <c r="E134" s="265" t="s">
        <v>1007</v>
      </c>
      <c r="F134" s="267" t="s">
        <v>55</v>
      </c>
      <c r="G134" s="277">
        <v>86.3</v>
      </c>
      <c r="H134" s="268">
        <v>47.38</v>
      </c>
      <c r="I134" s="287">
        <v>9.6999999999999993</v>
      </c>
      <c r="J134" s="268">
        <v>12.31</v>
      </c>
      <c r="K134" s="292">
        <v>37.68</v>
      </c>
      <c r="L134" s="268">
        <v>47.8</v>
      </c>
      <c r="M134" s="268">
        <v>60.11</v>
      </c>
      <c r="N134" s="268">
        <v>1062.3499999999999</v>
      </c>
      <c r="O134" s="268">
        <v>4125.1400000000003</v>
      </c>
      <c r="P134" s="268">
        <v>5187.49</v>
      </c>
      <c r="Q134" s="269">
        <v>2.0999999999999999E-3</v>
      </c>
      <c r="R134" s="44"/>
      <c r="S134" s="49">
        <f t="shared" si="1"/>
        <v>4088.89</v>
      </c>
      <c r="T134" s="126"/>
      <c r="U134" s="48"/>
      <c r="V134" s="48"/>
      <c r="W134" s="48"/>
      <c r="X134" s="48"/>
      <c r="Y134" s="48"/>
      <c r="Z134" s="48"/>
      <c r="AA134" s="48"/>
      <c r="AB134" s="48"/>
      <c r="AC134" s="48"/>
      <c r="AD134" s="48"/>
      <c r="AE134" s="48"/>
      <c r="AF134" s="48"/>
      <c r="AG134" s="48"/>
      <c r="AH134" s="48"/>
      <c r="AI134" s="48"/>
      <c r="AJ134" s="44"/>
      <c r="AK134" s="44"/>
      <c r="AL134" s="44"/>
    </row>
    <row r="135" spans="1:38" x14ac:dyDescent="0.25">
      <c r="A135" s="94"/>
      <c r="B135" s="265" t="s">
        <v>819</v>
      </c>
      <c r="C135" s="266" t="s">
        <v>545</v>
      </c>
      <c r="D135" s="265" t="s">
        <v>199</v>
      </c>
      <c r="E135" s="265" t="s">
        <v>760</v>
      </c>
      <c r="F135" s="267" t="s">
        <v>168</v>
      </c>
      <c r="G135" s="277">
        <v>9</v>
      </c>
      <c r="H135" s="268">
        <v>461.77</v>
      </c>
      <c r="I135" s="287">
        <v>72.099999999999994</v>
      </c>
      <c r="J135" s="268">
        <v>91.47</v>
      </c>
      <c r="K135" s="292">
        <v>389.67</v>
      </c>
      <c r="L135" s="268">
        <v>494.37</v>
      </c>
      <c r="M135" s="268">
        <v>585.84</v>
      </c>
      <c r="N135" s="268">
        <v>823.23</v>
      </c>
      <c r="O135" s="268">
        <v>4449.33</v>
      </c>
      <c r="P135" s="268">
        <v>5272.56</v>
      </c>
      <c r="Q135" s="269">
        <v>2.0999999999999999E-3</v>
      </c>
      <c r="R135" s="44"/>
      <c r="S135" s="49">
        <f t="shared" si="1"/>
        <v>4155.93</v>
      </c>
      <c r="T135" s="126"/>
      <c r="U135" s="48"/>
      <c r="V135" s="48"/>
      <c r="W135" s="48"/>
      <c r="X135" s="48"/>
      <c r="Y135" s="48"/>
      <c r="Z135" s="48"/>
      <c r="AA135" s="48"/>
      <c r="AB135" s="48"/>
      <c r="AC135" s="48"/>
      <c r="AD135" s="48"/>
      <c r="AE135" s="48"/>
      <c r="AF135" s="48"/>
      <c r="AG135" s="48"/>
      <c r="AH135" s="48"/>
      <c r="AI135" s="48"/>
      <c r="AJ135" s="44"/>
      <c r="AK135" s="44"/>
      <c r="AL135" s="44"/>
    </row>
    <row r="136" spans="1:38" ht="41.4" customHeight="1" x14ac:dyDescent="0.25">
      <c r="A136" s="94"/>
      <c r="B136" s="265" t="s">
        <v>588</v>
      </c>
      <c r="C136" s="266" t="s">
        <v>1136</v>
      </c>
      <c r="D136" s="265" t="s">
        <v>40</v>
      </c>
      <c r="E136" s="265" t="s">
        <v>1137</v>
      </c>
      <c r="F136" s="267" t="s">
        <v>55</v>
      </c>
      <c r="G136" s="277">
        <v>136</v>
      </c>
      <c r="H136" s="268">
        <v>30.38</v>
      </c>
      <c r="I136" s="287">
        <v>3.17</v>
      </c>
      <c r="J136" s="268">
        <v>4.0199999999999996</v>
      </c>
      <c r="K136" s="292">
        <v>27.21</v>
      </c>
      <c r="L136" s="268">
        <v>34.520000000000003</v>
      </c>
      <c r="M136" s="268">
        <v>38.54</v>
      </c>
      <c r="N136" s="268">
        <v>546.72</v>
      </c>
      <c r="O136" s="268">
        <v>4694.72</v>
      </c>
      <c r="P136" s="268">
        <v>5241.4399999999996</v>
      </c>
      <c r="Q136" s="269">
        <v>2.0999999999999999E-3</v>
      </c>
      <c r="R136" s="44"/>
      <c r="S136" s="49">
        <f t="shared" si="1"/>
        <v>4131.68</v>
      </c>
      <c r="T136" s="126"/>
      <c r="U136" s="48"/>
      <c r="V136" s="48"/>
      <c r="W136" s="48"/>
      <c r="X136" s="48"/>
      <c r="Y136" s="48"/>
      <c r="Z136" s="48"/>
      <c r="AA136" s="48"/>
      <c r="AB136" s="48"/>
      <c r="AC136" s="48"/>
      <c r="AD136" s="48"/>
      <c r="AE136" s="48"/>
      <c r="AF136" s="48"/>
      <c r="AG136" s="48"/>
      <c r="AH136" s="48"/>
      <c r="AI136" s="48"/>
      <c r="AJ136" s="44"/>
      <c r="AK136" s="44"/>
      <c r="AL136" s="44"/>
    </row>
    <row r="137" spans="1:38" x14ac:dyDescent="0.25">
      <c r="A137" s="94"/>
      <c r="B137" s="265" t="s">
        <v>133</v>
      </c>
      <c r="C137" s="266" t="s">
        <v>81</v>
      </c>
      <c r="D137" s="265" t="s">
        <v>51</v>
      </c>
      <c r="E137" s="265" t="s">
        <v>82</v>
      </c>
      <c r="F137" s="267" t="s">
        <v>59</v>
      </c>
      <c r="G137" s="277">
        <v>42.8</v>
      </c>
      <c r="H137" s="268">
        <v>92.53</v>
      </c>
      <c r="I137" s="287">
        <v>2.4500000000000002</v>
      </c>
      <c r="J137" s="268">
        <v>3.11</v>
      </c>
      <c r="K137" s="292">
        <v>90.08</v>
      </c>
      <c r="L137" s="268">
        <v>114.28</v>
      </c>
      <c r="M137" s="268">
        <v>117.39</v>
      </c>
      <c r="N137" s="268">
        <v>133.11000000000001</v>
      </c>
      <c r="O137" s="268">
        <v>4891.18</v>
      </c>
      <c r="P137" s="268">
        <v>5024.29</v>
      </c>
      <c r="Q137" s="269">
        <v>2E-3</v>
      </c>
      <c r="R137" s="44"/>
      <c r="S137" s="49">
        <f t="shared" si="1"/>
        <v>3960.28</v>
      </c>
      <c r="T137" s="126"/>
      <c r="U137" s="48"/>
      <c r="V137" s="48"/>
      <c r="W137" s="48"/>
      <c r="X137" s="48"/>
      <c r="Y137" s="48"/>
      <c r="Z137" s="48"/>
      <c r="AA137" s="48"/>
      <c r="AB137" s="48"/>
      <c r="AC137" s="48"/>
      <c r="AD137" s="48"/>
      <c r="AE137" s="48"/>
      <c r="AF137" s="48"/>
      <c r="AG137" s="48"/>
      <c r="AH137" s="48"/>
      <c r="AI137" s="48"/>
      <c r="AJ137" s="44"/>
      <c r="AK137" s="44"/>
      <c r="AL137" s="44"/>
    </row>
    <row r="138" spans="1:38" ht="27.6" x14ac:dyDescent="0.25">
      <c r="A138" s="94"/>
      <c r="B138" s="265" t="s">
        <v>1363</v>
      </c>
      <c r="C138" s="266" t="s">
        <v>1364</v>
      </c>
      <c r="D138" s="265" t="s">
        <v>40</v>
      </c>
      <c r="E138" s="265" t="s">
        <v>1365</v>
      </c>
      <c r="F138" s="267" t="s">
        <v>41</v>
      </c>
      <c r="G138" s="277">
        <v>135.65</v>
      </c>
      <c r="H138" s="268">
        <v>28.74</v>
      </c>
      <c r="I138" s="287">
        <v>13.2</v>
      </c>
      <c r="J138" s="268">
        <v>16.75</v>
      </c>
      <c r="K138" s="292">
        <v>15.54</v>
      </c>
      <c r="L138" s="268">
        <v>19.72</v>
      </c>
      <c r="M138" s="268">
        <v>36.47</v>
      </c>
      <c r="N138" s="268">
        <v>2272.14</v>
      </c>
      <c r="O138" s="268">
        <v>2675.02</v>
      </c>
      <c r="P138" s="268">
        <v>4947.16</v>
      </c>
      <c r="Q138" s="269">
        <v>2E-3</v>
      </c>
      <c r="R138" s="44"/>
      <c r="S138" s="49">
        <f t="shared" si="1"/>
        <v>3898.58</v>
      </c>
      <c r="T138" s="126"/>
      <c r="U138" s="48"/>
      <c r="V138" s="48"/>
      <c r="W138" s="48"/>
      <c r="X138" s="48"/>
      <c r="Y138" s="48"/>
      <c r="Z138" s="48"/>
      <c r="AA138" s="48"/>
      <c r="AB138" s="48"/>
      <c r="AC138" s="48"/>
      <c r="AD138" s="48"/>
      <c r="AE138" s="48"/>
      <c r="AF138" s="48"/>
      <c r="AG138" s="48"/>
      <c r="AH138" s="48"/>
      <c r="AI138" s="48"/>
      <c r="AJ138" s="44"/>
      <c r="AK138" s="44"/>
      <c r="AL138" s="44"/>
    </row>
    <row r="139" spans="1:38" ht="27.6" x14ac:dyDescent="0.25">
      <c r="A139" s="94"/>
      <c r="B139" s="265" t="s">
        <v>1462</v>
      </c>
      <c r="C139" s="266" t="s">
        <v>1463</v>
      </c>
      <c r="D139" s="265" t="s">
        <v>146</v>
      </c>
      <c r="E139" s="265" t="s">
        <v>1464</v>
      </c>
      <c r="F139" s="267" t="s">
        <v>41</v>
      </c>
      <c r="G139" s="277">
        <v>9.8000000000000007</v>
      </c>
      <c r="H139" s="268">
        <v>400.76</v>
      </c>
      <c r="I139" s="287">
        <v>49.26</v>
      </c>
      <c r="J139" s="268">
        <v>62.5</v>
      </c>
      <c r="K139" s="292">
        <v>351.5</v>
      </c>
      <c r="L139" s="268">
        <v>445.95</v>
      </c>
      <c r="M139" s="268">
        <v>508.45</v>
      </c>
      <c r="N139" s="268">
        <v>612.5</v>
      </c>
      <c r="O139" s="268">
        <v>4370.3100000000004</v>
      </c>
      <c r="P139" s="268">
        <v>4982.8100000000004</v>
      </c>
      <c r="Q139" s="269">
        <v>2E-3</v>
      </c>
      <c r="R139" s="44"/>
      <c r="S139" s="49">
        <f t="shared" si="1"/>
        <v>3927.45</v>
      </c>
      <c r="T139" s="126"/>
      <c r="U139" s="48"/>
      <c r="V139" s="48"/>
      <c r="W139" s="48"/>
      <c r="X139" s="48"/>
      <c r="Y139" s="48"/>
      <c r="Z139" s="48"/>
      <c r="AA139" s="48"/>
      <c r="AB139" s="48"/>
      <c r="AC139" s="48"/>
      <c r="AD139" s="48"/>
      <c r="AE139" s="48"/>
      <c r="AF139" s="48"/>
      <c r="AG139" s="48"/>
      <c r="AH139" s="48"/>
      <c r="AI139" s="48"/>
      <c r="AJ139" s="44"/>
      <c r="AK139" s="44"/>
      <c r="AL139" s="44"/>
    </row>
    <row r="140" spans="1:38" ht="41.4" customHeight="1" x14ac:dyDescent="0.25">
      <c r="A140" s="94"/>
      <c r="B140" s="265" t="s">
        <v>1237</v>
      </c>
      <c r="C140" s="266" t="s">
        <v>1484</v>
      </c>
      <c r="D140" s="265" t="s">
        <v>100</v>
      </c>
      <c r="E140" s="265" t="s">
        <v>1485</v>
      </c>
      <c r="F140" s="267" t="s">
        <v>44</v>
      </c>
      <c r="G140" s="277">
        <v>1</v>
      </c>
      <c r="H140" s="268">
        <v>4149.8999999999996</v>
      </c>
      <c r="I140" s="287">
        <v>179.9</v>
      </c>
      <c r="J140" s="268">
        <v>214.21</v>
      </c>
      <c r="K140" s="292">
        <v>3970</v>
      </c>
      <c r="L140" s="268">
        <v>4727.08</v>
      </c>
      <c r="M140" s="268">
        <v>4941.29</v>
      </c>
      <c r="N140" s="268">
        <v>214.21</v>
      </c>
      <c r="O140" s="268">
        <v>4727.08</v>
      </c>
      <c r="P140" s="268">
        <v>4941.29</v>
      </c>
      <c r="Q140" s="269">
        <v>2E-3</v>
      </c>
      <c r="R140" s="44"/>
      <c r="S140" s="49">
        <f t="shared" si="1"/>
        <v>4149.8999999999996</v>
      </c>
      <c r="T140" s="126"/>
      <c r="U140" s="48"/>
      <c r="V140" s="48"/>
      <c r="W140" s="48"/>
      <c r="X140" s="48"/>
      <c r="Y140" s="48"/>
      <c r="Z140" s="48"/>
      <c r="AA140" s="48"/>
      <c r="AB140" s="48"/>
      <c r="AC140" s="48"/>
      <c r="AD140" s="48"/>
      <c r="AE140" s="48"/>
      <c r="AF140" s="48"/>
      <c r="AG140" s="48"/>
      <c r="AH140" s="48"/>
      <c r="AI140" s="48"/>
      <c r="AJ140" s="44"/>
      <c r="AK140" s="44"/>
      <c r="AL140" s="44"/>
    </row>
    <row r="141" spans="1:38" ht="27.6" x14ac:dyDescent="0.25">
      <c r="A141" s="94"/>
      <c r="B141" s="265" t="s">
        <v>1262</v>
      </c>
      <c r="C141" s="266" t="s">
        <v>657</v>
      </c>
      <c r="D141" s="265" t="s">
        <v>199</v>
      </c>
      <c r="E141" s="265" t="s">
        <v>766</v>
      </c>
      <c r="F141" s="267" t="s">
        <v>240</v>
      </c>
      <c r="G141" s="277">
        <v>85.3</v>
      </c>
      <c r="H141" s="268">
        <v>47.53</v>
      </c>
      <c r="I141" s="287">
        <v>27.39</v>
      </c>
      <c r="J141" s="268">
        <v>34.75</v>
      </c>
      <c r="K141" s="292">
        <v>20.14</v>
      </c>
      <c r="L141" s="268">
        <v>25.55</v>
      </c>
      <c r="M141" s="268">
        <v>60.3</v>
      </c>
      <c r="N141" s="268">
        <v>2964.18</v>
      </c>
      <c r="O141" s="268">
        <v>2179.42</v>
      </c>
      <c r="P141" s="268">
        <v>5143.6000000000004</v>
      </c>
      <c r="Q141" s="269">
        <v>2E-3</v>
      </c>
      <c r="R141" s="44"/>
      <c r="S141" s="49">
        <f t="shared" si="1"/>
        <v>4054.31</v>
      </c>
      <c r="T141" s="126"/>
      <c r="U141" s="48"/>
      <c r="V141" s="48"/>
      <c r="W141" s="48"/>
      <c r="X141" s="48"/>
      <c r="Y141" s="48"/>
      <c r="Z141" s="48"/>
      <c r="AA141" s="48"/>
      <c r="AB141" s="48"/>
      <c r="AC141" s="48"/>
      <c r="AD141" s="48"/>
      <c r="AE141" s="48"/>
      <c r="AF141" s="48"/>
      <c r="AG141" s="48"/>
      <c r="AH141" s="48"/>
      <c r="AI141" s="48"/>
      <c r="AJ141" s="44"/>
      <c r="AK141" s="44"/>
      <c r="AL141" s="44"/>
    </row>
    <row r="142" spans="1:38" ht="27.6" x14ac:dyDescent="0.25">
      <c r="A142" s="94"/>
      <c r="B142" s="265" t="s">
        <v>1073</v>
      </c>
      <c r="C142" s="266" t="s">
        <v>1506</v>
      </c>
      <c r="D142" s="265" t="s">
        <v>40</v>
      </c>
      <c r="E142" s="265" t="s">
        <v>1507</v>
      </c>
      <c r="F142" s="267" t="s">
        <v>55</v>
      </c>
      <c r="G142" s="277">
        <v>234.8</v>
      </c>
      <c r="H142" s="268">
        <v>16.690000000000001</v>
      </c>
      <c r="I142" s="287">
        <v>2.5499999999999998</v>
      </c>
      <c r="J142" s="268">
        <v>3.24</v>
      </c>
      <c r="K142" s="292">
        <v>14.14</v>
      </c>
      <c r="L142" s="268">
        <v>17.940000000000001</v>
      </c>
      <c r="M142" s="268">
        <v>21.18</v>
      </c>
      <c r="N142" s="268">
        <v>760.75</v>
      </c>
      <c r="O142" s="268">
        <v>4212.3100000000004</v>
      </c>
      <c r="P142" s="268">
        <v>4973.0600000000004</v>
      </c>
      <c r="Q142" s="269">
        <v>2E-3</v>
      </c>
      <c r="R142" s="44"/>
      <c r="S142" s="49">
        <f t="shared" si="1"/>
        <v>3918.81</v>
      </c>
      <c r="T142" s="126"/>
      <c r="U142" s="48"/>
      <c r="V142" s="48"/>
      <c r="W142" s="48"/>
      <c r="X142" s="48"/>
      <c r="Y142" s="48"/>
      <c r="Z142" s="48"/>
      <c r="AA142" s="48"/>
      <c r="AB142" s="48"/>
      <c r="AC142" s="48"/>
      <c r="AD142" s="48"/>
      <c r="AE142" s="48"/>
      <c r="AF142" s="48"/>
      <c r="AG142" s="48"/>
      <c r="AH142" s="48"/>
      <c r="AI142" s="48"/>
      <c r="AJ142" s="44"/>
      <c r="AK142" s="44"/>
      <c r="AL142" s="44"/>
    </row>
    <row r="143" spans="1:38" ht="27.6" x14ac:dyDescent="0.25">
      <c r="A143" s="94"/>
      <c r="B143" s="265" t="s">
        <v>1076</v>
      </c>
      <c r="C143" s="266" t="s">
        <v>1510</v>
      </c>
      <c r="D143" s="265" t="s">
        <v>40</v>
      </c>
      <c r="E143" s="265" t="s">
        <v>1511</v>
      </c>
      <c r="F143" s="267" t="s">
        <v>55</v>
      </c>
      <c r="G143" s="277">
        <v>154.80000000000001</v>
      </c>
      <c r="H143" s="268">
        <v>25.18</v>
      </c>
      <c r="I143" s="287">
        <v>0.38</v>
      </c>
      <c r="J143" s="268">
        <v>0.48</v>
      </c>
      <c r="K143" s="292">
        <v>24.8</v>
      </c>
      <c r="L143" s="268">
        <v>31.46</v>
      </c>
      <c r="M143" s="268">
        <v>31.94</v>
      </c>
      <c r="N143" s="268">
        <v>74.3</v>
      </c>
      <c r="O143" s="268">
        <v>4870.01</v>
      </c>
      <c r="P143" s="268">
        <v>4944.3100000000004</v>
      </c>
      <c r="Q143" s="269">
        <v>2E-3</v>
      </c>
      <c r="R143" s="44"/>
      <c r="S143" s="49">
        <f t="shared" si="1"/>
        <v>3897.86</v>
      </c>
      <c r="T143" s="126"/>
      <c r="U143" s="48"/>
      <c r="V143" s="48"/>
      <c r="W143" s="48"/>
      <c r="X143" s="48"/>
      <c r="Y143" s="48"/>
      <c r="Z143" s="48"/>
      <c r="AA143" s="48"/>
      <c r="AB143" s="48"/>
      <c r="AC143" s="48"/>
      <c r="AD143" s="48"/>
      <c r="AE143" s="48"/>
      <c r="AF143" s="48"/>
      <c r="AG143" s="48"/>
      <c r="AH143" s="48"/>
      <c r="AI143" s="48"/>
      <c r="AJ143" s="44"/>
      <c r="AK143" s="44"/>
      <c r="AL143" s="44"/>
    </row>
    <row r="144" spans="1:38" ht="27.6" x14ac:dyDescent="0.25">
      <c r="A144" s="94"/>
      <c r="B144" s="265" t="s">
        <v>1032</v>
      </c>
      <c r="C144" s="266" t="s">
        <v>252</v>
      </c>
      <c r="D144" s="265" t="s">
        <v>40</v>
      </c>
      <c r="E144" s="265" t="s">
        <v>253</v>
      </c>
      <c r="F144" s="267" t="s">
        <v>44</v>
      </c>
      <c r="G144" s="277">
        <v>7</v>
      </c>
      <c r="H144" s="268">
        <v>547.1</v>
      </c>
      <c r="I144" s="287">
        <v>23.92</v>
      </c>
      <c r="J144" s="268">
        <v>30.35</v>
      </c>
      <c r="K144" s="292">
        <v>523.17999999999995</v>
      </c>
      <c r="L144" s="268">
        <v>663.76</v>
      </c>
      <c r="M144" s="268">
        <v>694.11</v>
      </c>
      <c r="N144" s="268">
        <v>212.45</v>
      </c>
      <c r="O144" s="268">
        <v>4646.32</v>
      </c>
      <c r="P144" s="268">
        <v>4858.7700000000004</v>
      </c>
      <c r="Q144" s="269">
        <v>1.9E-3</v>
      </c>
      <c r="R144" s="44"/>
      <c r="S144" s="49">
        <f t="shared" si="1"/>
        <v>3829.7</v>
      </c>
      <c r="T144" s="126"/>
      <c r="U144" s="48"/>
      <c r="V144" s="48"/>
      <c r="W144" s="48"/>
      <c r="X144" s="48"/>
      <c r="Y144" s="48"/>
      <c r="Z144" s="48"/>
      <c r="AA144" s="48"/>
      <c r="AB144" s="48"/>
      <c r="AC144" s="48"/>
      <c r="AD144" s="48"/>
      <c r="AE144" s="48"/>
      <c r="AF144" s="48"/>
      <c r="AG144" s="48"/>
      <c r="AH144" s="48"/>
      <c r="AI144" s="48"/>
      <c r="AJ144" s="44"/>
      <c r="AK144" s="44"/>
      <c r="AL144" s="44"/>
    </row>
    <row r="145" spans="1:38" x14ac:dyDescent="0.25">
      <c r="A145" s="94"/>
      <c r="B145" s="265" t="s">
        <v>60</v>
      </c>
      <c r="C145" s="266" t="s">
        <v>57</v>
      </c>
      <c r="D145" s="265" t="s">
        <v>40</v>
      </c>
      <c r="E145" s="265" t="s">
        <v>58</v>
      </c>
      <c r="F145" s="267" t="s">
        <v>59</v>
      </c>
      <c r="G145" s="277">
        <v>47.67</v>
      </c>
      <c r="H145" s="268">
        <v>74.400000000000006</v>
      </c>
      <c r="I145" s="287">
        <v>55.12</v>
      </c>
      <c r="J145" s="268">
        <v>69.930000000000007</v>
      </c>
      <c r="K145" s="292">
        <v>19.28</v>
      </c>
      <c r="L145" s="268">
        <v>24.46</v>
      </c>
      <c r="M145" s="268">
        <v>94.39</v>
      </c>
      <c r="N145" s="268">
        <v>3333.56</v>
      </c>
      <c r="O145" s="268">
        <v>1166.01</v>
      </c>
      <c r="P145" s="268">
        <v>4499.57</v>
      </c>
      <c r="Q145" s="269">
        <v>1.8E-3</v>
      </c>
      <c r="R145" s="44"/>
      <c r="S145" s="49">
        <f t="shared" si="1"/>
        <v>3546.65</v>
      </c>
      <c r="T145" s="126"/>
      <c r="U145" s="48"/>
      <c r="V145" s="48"/>
      <c r="W145" s="48"/>
      <c r="X145" s="48"/>
      <c r="Y145" s="48"/>
      <c r="Z145" s="48"/>
      <c r="AA145" s="48"/>
      <c r="AB145" s="48"/>
      <c r="AC145" s="48"/>
      <c r="AD145" s="48"/>
      <c r="AE145" s="48"/>
      <c r="AF145" s="48"/>
      <c r="AG145" s="48"/>
      <c r="AH145" s="48"/>
      <c r="AI145" s="48"/>
      <c r="AJ145" s="44"/>
      <c r="AK145" s="44"/>
      <c r="AL145" s="44"/>
    </row>
    <row r="146" spans="1:38" x14ac:dyDescent="0.25">
      <c r="A146" s="94"/>
      <c r="B146" s="265" t="s">
        <v>538</v>
      </c>
      <c r="C146" s="266">
        <v>100113</v>
      </c>
      <c r="D146" s="265" t="s">
        <v>51</v>
      </c>
      <c r="E146" s="265" t="s">
        <v>1015</v>
      </c>
      <c r="F146" s="267" t="s">
        <v>41</v>
      </c>
      <c r="G146" s="277">
        <v>34.409999999999997</v>
      </c>
      <c r="H146" s="268">
        <v>104.62</v>
      </c>
      <c r="I146" s="287">
        <v>0</v>
      </c>
      <c r="J146" s="268">
        <v>0</v>
      </c>
      <c r="K146" s="292">
        <v>104.62</v>
      </c>
      <c r="L146" s="268">
        <v>132.72999999999999</v>
      </c>
      <c r="M146" s="268">
        <v>132.72999999999999</v>
      </c>
      <c r="N146" s="268">
        <v>0</v>
      </c>
      <c r="O146" s="268">
        <v>4567.24</v>
      </c>
      <c r="P146" s="268">
        <v>4567.24</v>
      </c>
      <c r="Q146" s="269">
        <v>1.8E-3</v>
      </c>
      <c r="R146" s="44"/>
      <c r="S146" s="49">
        <f t="shared" si="1"/>
        <v>3599.97</v>
      </c>
      <c r="T146" s="126"/>
      <c r="U146" s="48"/>
      <c r="V146" s="48"/>
      <c r="W146" s="48"/>
      <c r="X146" s="48"/>
      <c r="Y146" s="48"/>
      <c r="Z146" s="48"/>
      <c r="AA146" s="48"/>
      <c r="AB146" s="48"/>
      <c r="AC146" s="48"/>
      <c r="AD146" s="48"/>
      <c r="AE146" s="48"/>
      <c r="AF146" s="48"/>
      <c r="AG146" s="48"/>
      <c r="AH146" s="48"/>
      <c r="AI146" s="48"/>
      <c r="AJ146" s="44"/>
      <c r="AK146" s="44"/>
      <c r="AL146" s="44"/>
    </row>
    <row r="147" spans="1:38" ht="27.6" x14ac:dyDescent="0.25">
      <c r="A147" s="94"/>
      <c r="B147" s="265" t="s">
        <v>1263</v>
      </c>
      <c r="C147" s="266" t="s">
        <v>658</v>
      </c>
      <c r="D147" s="265" t="s">
        <v>199</v>
      </c>
      <c r="E147" s="265" t="s">
        <v>767</v>
      </c>
      <c r="F147" s="267" t="s">
        <v>240</v>
      </c>
      <c r="G147" s="277">
        <v>47</v>
      </c>
      <c r="H147" s="268">
        <v>77.94</v>
      </c>
      <c r="I147" s="287">
        <v>41.08</v>
      </c>
      <c r="J147" s="268">
        <v>52.12</v>
      </c>
      <c r="K147" s="292">
        <v>36.86</v>
      </c>
      <c r="L147" s="268">
        <v>46.76</v>
      </c>
      <c r="M147" s="268">
        <v>98.88</v>
      </c>
      <c r="N147" s="268">
        <v>2449.64</v>
      </c>
      <c r="O147" s="268">
        <v>2197.7199999999998</v>
      </c>
      <c r="P147" s="268">
        <v>4647.3599999999997</v>
      </c>
      <c r="Q147" s="269">
        <v>1.8E-3</v>
      </c>
      <c r="R147" s="44"/>
      <c r="S147" s="49">
        <f t="shared" si="1"/>
        <v>3663.18</v>
      </c>
      <c r="T147" s="126"/>
      <c r="U147" s="48"/>
      <c r="V147" s="48"/>
      <c r="W147" s="48"/>
      <c r="X147" s="48"/>
      <c r="Y147" s="48"/>
      <c r="Z147" s="48"/>
      <c r="AA147" s="48"/>
      <c r="AB147" s="48"/>
      <c r="AC147" s="48"/>
      <c r="AD147" s="48"/>
      <c r="AE147" s="48"/>
      <c r="AF147" s="48"/>
      <c r="AG147" s="48"/>
      <c r="AH147" s="48"/>
      <c r="AI147" s="48"/>
      <c r="AJ147" s="44"/>
      <c r="AK147" s="44"/>
      <c r="AL147" s="44"/>
    </row>
    <row r="148" spans="1:38" x14ac:dyDescent="0.25">
      <c r="A148" s="94"/>
      <c r="B148" s="265" t="s">
        <v>1449</v>
      </c>
      <c r="C148" s="266" t="s">
        <v>81</v>
      </c>
      <c r="D148" s="265" t="s">
        <v>51</v>
      </c>
      <c r="E148" s="265" t="s">
        <v>82</v>
      </c>
      <c r="F148" s="267" t="s">
        <v>59</v>
      </c>
      <c r="G148" s="277">
        <v>36.9</v>
      </c>
      <c r="H148" s="268">
        <v>92.53</v>
      </c>
      <c r="I148" s="287">
        <v>2.4500000000000002</v>
      </c>
      <c r="J148" s="268">
        <v>3.11</v>
      </c>
      <c r="K148" s="292">
        <v>90.08</v>
      </c>
      <c r="L148" s="268">
        <v>114.28</v>
      </c>
      <c r="M148" s="268">
        <v>117.39</v>
      </c>
      <c r="N148" s="268">
        <v>114.76</v>
      </c>
      <c r="O148" s="268">
        <v>4216.93</v>
      </c>
      <c r="P148" s="268">
        <v>4331.6899999999996</v>
      </c>
      <c r="Q148" s="269">
        <v>1.6999999999999999E-3</v>
      </c>
      <c r="R148" s="44"/>
      <c r="S148" s="49">
        <f t="shared" si="1"/>
        <v>3414.36</v>
      </c>
      <c r="T148" s="126"/>
      <c r="U148" s="48"/>
      <c r="V148" s="48"/>
      <c r="W148" s="48"/>
      <c r="X148" s="48"/>
      <c r="Y148" s="48"/>
      <c r="Z148" s="48"/>
      <c r="AA148" s="48"/>
      <c r="AB148" s="48"/>
      <c r="AC148" s="48"/>
      <c r="AD148" s="48"/>
      <c r="AE148" s="48"/>
      <c r="AF148" s="48"/>
      <c r="AG148" s="48"/>
      <c r="AH148" s="48"/>
      <c r="AI148" s="48"/>
      <c r="AJ148" s="44"/>
      <c r="AK148" s="44"/>
      <c r="AL148" s="44"/>
    </row>
    <row r="149" spans="1:38" ht="27.6" x14ac:dyDescent="0.25">
      <c r="A149" s="94"/>
      <c r="B149" s="265" t="s">
        <v>800</v>
      </c>
      <c r="C149" s="266">
        <v>94231</v>
      </c>
      <c r="D149" s="265" t="s">
        <v>40</v>
      </c>
      <c r="E149" s="265" t="s">
        <v>155</v>
      </c>
      <c r="F149" s="267" t="s">
        <v>55</v>
      </c>
      <c r="G149" s="277">
        <v>76.680000000000007</v>
      </c>
      <c r="H149" s="268">
        <v>44.82</v>
      </c>
      <c r="I149" s="287">
        <v>5.41</v>
      </c>
      <c r="J149" s="268">
        <v>6.86</v>
      </c>
      <c r="K149" s="292">
        <v>39.409999999999997</v>
      </c>
      <c r="L149" s="268">
        <v>50</v>
      </c>
      <c r="M149" s="268">
        <v>56.86</v>
      </c>
      <c r="N149" s="268">
        <v>526.02</v>
      </c>
      <c r="O149" s="268">
        <v>3834</v>
      </c>
      <c r="P149" s="268">
        <v>4360.0200000000004</v>
      </c>
      <c r="Q149" s="269">
        <v>1.6999999999999999E-3</v>
      </c>
      <c r="R149" s="44"/>
      <c r="S149" s="49">
        <f t="shared" ref="S149:S212" si="2">G149*H149</f>
        <v>3436.8</v>
      </c>
      <c r="T149" s="126"/>
      <c r="U149" s="48"/>
      <c r="V149" s="48"/>
      <c r="W149" s="48"/>
      <c r="X149" s="48"/>
      <c r="Y149" s="48"/>
      <c r="Z149" s="48"/>
      <c r="AA149" s="48"/>
      <c r="AB149" s="48"/>
      <c r="AC149" s="48"/>
      <c r="AD149" s="48"/>
      <c r="AE149" s="48"/>
      <c r="AF149" s="48"/>
      <c r="AG149" s="48"/>
      <c r="AH149" s="48"/>
      <c r="AI149" s="48"/>
      <c r="AJ149" s="44"/>
      <c r="AK149" s="44"/>
      <c r="AL149" s="44"/>
    </row>
    <row r="150" spans="1:38" ht="27.6" x14ac:dyDescent="0.25">
      <c r="A150" s="94"/>
      <c r="B150" s="265" t="s">
        <v>801</v>
      </c>
      <c r="C150" s="266">
        <v>94451</v>
      </c>
      <c r="D150" s="265" t="s">
        <v>40</v>
      </c>
      <c r="E150" s="265" t="s">
        <v>1182</v>
      </c>
      <c r="F150" s="267" t="s">
        <v>55</v>
      </c>
      <c r="G150" s="277">
        <v>33.4</v>
      </c>
      <c r="H150" s="268">
        <v>102.77</v>
      </c>
      <c r="I150" s="287">
        <v>2.19</v>
      </c>
      <c r="J150" s="268">
        <v>2.78</v>
      </c>
      <c r="K150" s="292">
        <v>100.58</v>
      </c>
      <c r="L150" s="268">
        <v>127.61</v>
      </c>
      <c r="M150" s="268">
        <v>130.38999999999999</v>
      </c>
      <c r="N150" s="268">
        <v>92.85</v>
      </c>
      <c r="O150" s="268">
        <v>4262.17</v>
      </c>
      <c r="P150" s="268">
        <v>4355.0200000000004</v>
      </c>
      <c r="Q150" s="269">
        <v>1.6999999999999999E-3</v>
      </c>
      <c r="R150" s="44"/>
      <c r="S150" s="49">
        <f t="shared" si="2"/>
        <v>3432.52</v>
      </c>
      <c r="T150" s="126"/>
      <c r="U150" s="48"/>
      <c r="V150" s="48"/>
      <c r="W150" s="48"/>
      <c r="X150" s="48"/>
      <c r="Y150" s="48"/>
      <c r="Z150" s="48"/>
      <c r="AA150" s="48"/>
      <c r="AB150" s="48"/>
      <c r="AC150" s="48"/>
      <c r="AD150" s="48"/>
      <c r="AE150" s="48"/>
      <c r="AF150" s="48"/>
      <c r="AG150" s="48"/>
      <c r="AH150" s="48"/>
      <c r="AI150" s="48"/>
      <c r="AJ150" s="44"/>
      <c r="AK150" s="44"/>
      <c r="AL150" s="44"/>
    </row>
    <row r="151" spans="1:38" ht="27.6" x14ac:dyDescent="0.25">
      <c r="A151" s="94"/>
      <c r="B151" s="265" t="s">
        <v>1295</v>
      </c>
      <c r="C151" s="266" t="s">
        <v>201</v>
      </c>
      <c r="D151" s="265" t="s">
        <v>40</v>
      </c>
      <c r="E151" s="265" t="s">
        <v>202</v>
      </c>
      <c r="F151" s="267" t="s">
        <v>44</v>
      </c>
      <c r="G151" s="277">
        <v>10</v>
      </c>
      <c r="H151" s="268">
        <v>348.75</v>
      </c>
      <c r="I151" s="287">
        <v>15.15</v>
      </c>
      <c r="J151" s="268">
        <v>19.22</v>
      </c>
      <c r="K151" s="292">
        <v>333.6</v>
      </c>
      <c r="L151" s="268">
        <v>423.24</v>
      </c>
      <c r="M151" s="268">
        <v>442.46</v>
      </c>
      <c r="N151" s="268">
        <v>192.2</v>
      </c>
      <c r="O151" s="268">
        <v>4232.3999999999996</v>
      </c>
      <c r="P151" s="268">
        <v>4424.6000000000004</v>
      </c>
      <c r="Q151" s="269">
        <v>1.6999999999999999E-3</v>
      </c>
      <c r="R151" s="44"/>
      <c r="S151" s="49">
        <f t="shared" si="2"/>
        <v>3487.5</v>
      </c>
      <c r="T151" s="126"/>
      <c r="U151" s="48"/>
      <c r="V151" s="48"/>
      <c r="W151" s="48"/>
      <c r="X151" s="48"/>
      <c r="Y151" s="48"/>
      <c r="Z151" s="48"/>
      <c r="AA151" s="48"/>
      <c r="AB151" s="48"/>
      <c r="AC151" s="48"/>
      <c r="AD151" s="48"/>
      <c r="AE151" s="48"/>
      <c r="AF151" s="48"/>
      <c r="AG151" s="48"/>
      <c r="AH151" s="48"/>
      <c r="AI151" s="48"/>
      <c r="AJ151" s="44"/>
      <c r="AK151" s="44"/>
      <c r="AL151" s="44"/>
    </row>
    <row r="152" spans="1:38" ht="27.6" x14ac:dyDescent="0.25">
      <c r="A152" s="94"/>
      <c r="B152" s="265" t="s">
        <v>504</v>
      </c>
      <c r="C152" s="266" t="s">
        <v>980</v>
      </c>
      <c r="D152" s="265" t="s">
        <v>146</v>
      </c>
      <c r="E152" s="265" t="s">
        <v>981</v>
      </c>
      <c r="F152" s="267" t="s">
        <v>41</v>
      </c>
      <c r="G152" s="277">
        <v>16</v>
      </c>
      <c r="H152" s="268">
        <v>199.84</v>
      </c>
      <c r="I152" s="287">
        <v>49.83</v>
      </c>
      <c r="J152" s="268">
        <v>63.22</v>
      </c>
      <c r="K152" s="292">
        <v>150.01</v>
      </c>
      <c r="L152" s="268">
        <v>190.32</v>
      </c>
      <c r="M152" s="268">
        <v>253.54</v>
      </c>
      <c r="N152" s="268">
        <v>1011.52</v>
      </c>
      <c r="O152" s="268">
        <v>3045.12</v>
      </c>
      <c r="P152" s="268">
        <v>4056.64</v>
      </c>
      <c r="Q152" s="269">
        <v>1.6000000000000001E-3</v>
      </c>
      <c r="R152" s="44"/>
      <c r="S152" s="49">
        <f t="shared" si="2"/>
        <v>3197.44</v>
      </c>
      <c r="T152" s="126"/>
      <c r="U152" s="48"/>
      <c r="V152" s="48"/>
      <c r="W152" s="48"/>
      <c r="X152" s="48"/>
      <c r="Y152" s="48"/>
      <c r="Z152" s="48"/>
      <c r="AA152" s="48"/>
      <c r="AB152" s="48"/>
      <c r="AC152" s="48"/>
      <c r="AD152" s="48"/>
      <c r="AE152" s="48"/>
      <c r="AF152" s="48"/>
      <c r="AG152" s="48"/>
      <c r="AH152" s="48"/>
      <c r="AI152" s="48"/>
      <c r="AJ152" s="44"/>
      <c r="AK152" s="44"/>
      <c r="AL152" s="44"/>
    </row>
    <row r="153" spans="1:38" x14ac:dyDescent="0.25">
      <c r="A153" s="94"/>
      <c r="B153" s="265" t="s">
        <v>1425</v>
      </c>
      <c r="C153" s="266">
        <v>110016</v>
      </c>
      <c r="D153" s="265" t="s">
        <v>51</v>
      </c>
      <c r="E153" s="265" t="s">
        <v>1427</v>
      </c>
      <c r="F153" s="267" t="s">
        <v>44</v>
      </c>
      <c r="G153" s="277">
        <v>2</v>
      </c>
      <c r="H153" s="268">
        <v>1637.28</v>
      </c>
      <c r="I153" s="287">
        <v>127.79</v>
      </c>
      <c r="J153" s="268">
        <v>162.13</v>
      </c>
      <c r="K153" s="292">
        <v>1509.49</v>
      </c>
      <c r="L153" s="268">
        <v>1915.09</v>
      </c>
      <c r="M153" s="268">
        <v>2077.2199999999998</v>
      </c>
      <c r="N153" s="268">
        <v>324.26</v>
      </c>
      <c r="O153" s="268">
        <v>3830.18</v>
      </c>
      <c r="P153" s="268">
        <v>4154.4399999999996</v>
      </c>
      <c r="Q153" s="269">
        <v>1.6000000000000001E-3</v>
      </c>
      <c r="R153" s="44"/>
      <c r="S153" s="49">
        <f t="shared" si="2"/>
        <v>3274.56</v>
      </c>
      <c r="T153" s="126"/>
      <c r="U153" s="48"/>
      <c r="V153" s="48"/>
      <c r="W153" s="48"/>
      <c r="X153" s="48"/>
      <c r="Y153" s="48"/>
      <c r="Z153" s="48"/>
      <c r="AA153" s="48"/>
      <c r="AB153" s="48"/>
      <c r="AC153" s="48"/>
      <c r="AD153" s="48"/>
      <c r="AE153" s="48"/>
      <c r="AF153" s="48"/>
      <c r="AG153" s="48"/>
      <c r="AH153" s="48"/>
      <c r="AI153" s="48"/>
      <c r="AJ153" s="44"/>
      <c r="AK153" s="44"/>
      <c r="AL153" s="44"/>
    </row>
    <row r="154" spans="1:38" x14ac:dyDescent="0.25">
      <c r="A154" s="94"/>
      <c r="B154" s="265" t="s">
        <v>1281</v>
      </c>
      <c r="C154" s="266" t="s">
        <v>613</v>
      </c>
      <c r="D154" s="265" t="s">
        <v>199</v>
      </c>
      <c r="E154" s="265" t="s">
        <v>763</v>
      </c>
      <c r="F154" s="267" t="s">
        <v>240</v>
      </c>
      <c r="G154" s="277">
        <v>64.7</v>
      </c>
      <c r="H154" s="268">
        <v>44.79</v>
      </c>
      <c r="I154" s="287">
        <v>16.059999999999999</v>
      </c>
      <c r="J154" s="268">
        <v>20.38</v>
      </c>
      <c r="K154" s="292">
        <v>28.73</v>
      </c>
      <c r="L154" s="268">
        <v>36.450000000000003</v>
      </c>
      <c r="M154" s="268">
        <v>56.83</v>
      </c>
      <c r="N154" s="268">
        <v>1318.59</v>
      </c>
      <c r="O154" s="268">
        <v>2358.3200000000002</v>
      </c>
      <c r="P154" s="268">
        <v>3676.91</v>
      </c>
      <c r="Q154" s="269">
        <v>1.5E-3</v>
      </c>
      <c r="R154" s="44"/>
      <c r="S154" s="49">
        <f t="shared" si="2"/>
        <v>2897.91</v>
      </c>
      <c r="T154" s="126"/>
      <c r="U154" s="48"/>
      <c r="V154" s="48"/>
      <c r="W154" s="48"/>
      <c r="X154" s="48"/>
      <c r="Y154" s="48"/>
      <c r="Z154" s="48"/>
      <c r="AA154" s="48"/>
      <c r="AB154" s="48"/>
      <c r="AC154" s="48"/>
      <c r="AD154" s="48"/>
      <c r="AE154" s="48"/>
      <c r="AF154" s="48"/>
      <c r="AG154" s="48"/>
      <c r="AH154" s="48"/>
      <c r="AI154" s="48"/>
      <c r="AJ154" s="44"/>
      <c r="AK154" s="44"/>
      <c r="AL154" s="44"/>
    </row>
    <row r="155" spans="1:38" x14ac:dyDescent="0.25">
      <c r="A155" s="94"/>
      <c r="B155" s="265" t="s">
        <v>1312</v>
      </c>
      <c r="C155" s="266">
        <v>93661</v>
      </c>
      <c r="D155" s="265" t="s">
        <v>40</v>
      </c>
      <c r="E155" s="265" t="s">
        <v>875</v>
      </c>
      <c r="F155" s="267" t="s">
        <v>44</v>
      </c>
      <c r="G155" s="277">
        <v>40</v>
      </c>
      <c r="H155" s="268">
        <v>72.83</v>
      </c>
      <c r="I155" s="287">
        <v>3.21</v>
      </c>
      <c r="J155" s="268">
        <v>4.07</v>
      </c>
      <c r="K155" s="292">
        <v>69.62</v>
      </c>
      <c r="L155" s="268">
        <v>88.33</v>
      </c>
      <c r="M155" s="268">
        <v>92.4</v>
      </c>
      <c r="N155" s="268">
        <v>162.80000000000001</v>
      </c>
      <c r="O155" s="268">
        <v>3533.2</v>
      </c>
      <c r="P155" s="268">
        <v>3696</v>
      </c>
      <c r="Q155" s="269">
        <v>1.5E-3</v>
      </c>
      <c r="R155" s="44"/>
      <c r="S155" s="49">
        <f t="shared" si="2"/>
        <v>2913.2</v>
      </c>
      <c r="T155" s="126"/>
      <c r="U155" s="48"/>
      <c r="V155" s="48"/>
      <c r="W155" s="48"/>
      <c r="X155" s="48"/>
      <c r="Y155" s="48"/>
      <c r="Z155" s="48"/>
      <c r="AA155" s="48"/>
      <c r="AB155" s="48"/>
      <c r="AC155" s="48"/>
      <c r="AD155" s="48"/>
      <c r="AE155" s="48"/>
      <c r="AF155" s="48"/>
      <c r="AG155" s="48"/>
      <c r="AH155" s="48"/>
      <c r="AI155" s="48"/>
      <c r="AJ155" s="44"/>
      <c r="AK155" s="44"/>
      <c r="AL155" s="44"/>
    </row>
    <row r="156" spans="1:38" x14ac:dyDescent="0.25">
      <c r="A156" s="94"/>
      <c r="B156" s="265" t="s">
        <v>1316</v>
      </c>
      <c r="C156" s="266" t="s">
        <v>874</v>
      </c>
      <c r="D156" s="265" t="s">
        <v>40</v>
      </c>
      <c r="E156" s="265" t="s">
        <v>875</v>
      </c>
      <c r="F156" s="267" t="s">
        <v>44</v>
      </c>
      <c r="G156" s="277">
        <v>40</v>
      </c>
      <c r="H156" s="268">
        <v>72.83</v>
      </c>
      <c r="I156" s="287">
        <v>3.21</v>
      </c>
      <c r="J156" s="268">
        <v>4.07</v>
      </c>
      <c r="K156" s="292">
        <v>69.62</v>
      </c>
      <c r="L156" s="268">
        <v>88.33</v>
      </c>
      <c r="M156" s="268">
        <v>92.4</v>
      </c>
      <c r="N156" s="268">
        <v>162.80000000000001</v>
      </c>
      <c r="O156" s="268">
        <v>3533.2</v>
      </c>
      <c r="P156" s="268">
        <v>3696</v>
      </c>
      <c r="Q156" s="269">
        <v>1.5E-3</v>
      </c>
      <c r="R156" s="44"/>
      <c r="S156" s="49">
        <f t="shared" si="2"/>
        <v>2913.2</v>
      </c>
      <c r="T156" s="126"/>
      <c r="U156" s="48"/>
      <c r="V156" s="48"/>
      <c r="W156" s="48"/>
      <c r="X156" s="48"/>
      <c r="Y156" s="48"/>
      <c r="Z156" s="48"/>
      <c r="AA156" s="48"/>
      <c r="AB156" s="48"/>
      <c r="AC156" s="48"/>
      <c r="AD156" s="48"/>
      <c r="AE156" s="48"/>
      <c r="AF156" s="48"/>
      <c r="AG156" s="48"/>
      <c r="AH156" s="48"/>
      <c r="AI156" s="48"/>
      <c r="AJ156" s="44"/>
      <c r="AK156" s="44"/>
      <c r="AL156" s="44"/>
    </row>
    <row r="157" spans="1:38" x14ac:dyDescent="0.25">
      <c r="A157" s="94"/>
      <c r="B157" s="265" t="s">
        <v>594</v>
      </c>
      <c r="C157" s="266" t="s">
        <v>1143</v>
      </c>
      <c r="D157" s="265" t="s">
        <v>146</v>
      </c>
      <c r="E157" s="265" t="s">
        <v>1144</v>
      </c>
      <c r="F157" s="267" t="s">
        <v>55</v>
      </c>
      <c r="G157" s="277">
        <v>185</v>
      </c>
      <c r="H157" s="268">
        <v>15.64</v>
      </c>
      <c r="I157" s="287">
        <v>4.4400000000000004</v>
      </c>
      <c r="J157" s="268">
        <v>5.63</v>
      </c>
      <c r="K157" s="292">
        <v>11.2</v>
      </c>
      <c r="L157" s="268">
        <v>14.21</v>
      </c>
      <c r="M157" s="268">
        <v>19.84</v>
      </c>
      <c r="N157" s="268">
        <v>1041.55</v>
      </c>
      <c r="O157" s="268">
        <v>2628.85</v>
      </c>
      <c r="P157" s="268">
        <v>3670.4</v>
      </c>
      <c r="Q157" s="269">
        <v>1.5E-3</v>
      </c>
      <c r="R157" s="44"/>
      <c r="S157" s="49">
        <f t="shared" si="2"/>
        <v>2893.4</v>
      </c>
      <c r="T157" s="126"/>
      <c r="U157" s="48"/>
      <c r="V157" s="48"/>
      <c r="W157" s="48"/>
      <c r="X157" s="48"/>
      <c r="Y157" s="48"/>
      <c r="Z157" s="48"/>
      <c r="AA157" s="48"/>
      <c r="AB157" s="48"/>
      <c r="AC157" s="48"/>
      <c r="AD157" s="48"/>
      <c r="AE157" s="48"/>
      <c r="AF157" s="48"/>
      <c r="AG157" s="48"/>
      <c r="AH157" s="48"/>
      <c r="AI157" s="48"/>
      <c r="AJ157" s="44"/>
      <c r="AK157" s="44"/>
      <c r="AL157" s="44"/>
    </row>
    <row r="158" spans="1:38" ht="27.6" x14ac:dyDescent="0.25">
      <c r="A158" s="94"/>
      <c r="B158" s="265" t="s">
        <v>510</v>
      </c>
      <c r="C158" s="266" t="s">
        <v>48</v>
      </c>
      <c r="D158" s="265" t="s">
        <v>40</v>
      </c>
      <c r="E158" s="265" t="s">
        <v>49</v>
      </c>
      <c r="F158" s="267" t="s">
        <v>41</v>
      </c>
      <c r="G158" s="277">
        <v>6</v>
      </c>
      <c r="H158" s="268">
        <v>458.06</v>
      </c>
      <c r="I158" s="287">
        <v>26.54</v>
      </c>
      <c r="J158" s="268">
        <v>33.67</v>
      </c>
      <c r="K158" s="292">
        <v>431.52</v>
      </c>
      <c r="L158" s="268">
        <v>547.47</v>
      </c>
      <c r="M158" s="268">
        <v>581.14</v>
      </c>
      <c r="N158" s="268">
        <v>202.02</v>
      </c>
      <c r="O158" s="268">
        <v>3284.82</v>
      </c>
      <c r="P158" s="268">
        <v>3486.84</v>
      </c>
      <c r="Q158" s="269">
        <v>1.4E-3</v>
      </c>
      <c r="R158" s="44"/>
      <c r="S158" s="49">
        <f t="shared" si="2"/>
        <v>2748.36</v>
      </c>
      <c r="T158" s="126"/>
      <c r="U158" s="48"/>
      <c r="V158" s="48"/>
      <c r="W158" s="48"/>
      <c r="X158" s="48"/>
      <c r="Y158" s="48"/>
      <c r="Z158" s="48"/>
      <c r="AA158" s="48"/>
      <c r="AB158" s="48"/>
      <c r="AC158" s="48"/>
      <c r="AD158" s="48"/>
      <c r="AE158" s="48"/>
      <c r="AF158" s="48"/>
      <c r="AG158" s="48"/>
      <c r="AH158" s="48"/>
      <c r="AI158" s="48"/>
      <c r="AJ158" s="44"/>
      <c r="AK158" s="44"/>
      <c r="AL158" s="44"/>
    </row>
    <row r="159" spans="1:38" ht="27.6" x14ac:dyDescent="0.25">
      <c r="A159" s="94"/>
      <c r="B159" s="265" t="s">
        <v>1640</v>
      </c>
      <c r="C159" s="266" t="s">
        <v>1641</v>
      </c>
      <c r="D159" s="265" t="s">
        <v>146</v>
      </c>
      <c r="E159" s="265" t="s">
        <v>1642</v>
      </c>
      <c r="F159" s="267" t="s">
        <v>41</v>
      </c>
      <c r="G159" s="277">
        <v>67.98</v>
      </c>
      <c r="H159" s="268">
        <v>42.3</v>
      </c>
      <c r="I159" s="287">
        <v>0</v>
      </c>
      <c r="J159" s="268">
        <v>0</v>
      </c>
      <c r="K159" s="292">
        <v>42.3</v>
      </c>
      <c r="L159" s="268">
        <v>53.67</v>
      </c>
      <c r="M159" s="268">
        <v>53.67</v>
      </c>
      <c r="N159" s="268">
        <v>0</v>
      </c>
      <c r="O159" s="268">
        <v>3648.49</v>
      </c>
      <c r="P159" s="268">
        <v>3648.49</v>
      </c>
      <c r="Q159" s="269">
        <v>1.4E-3</v>
      </c>
      <c r="R159" s="44"/>
      <c r="S159" s="49">
        <f t="shared" si="2"/>
        <v>2875.55</v>
      </c>
      <c r="T159" s="85"/>
      <c r="U159" s="48"/>
      <c r="V159" s="48"/>
      <c r="W159" s="48"/>
      <c r="X159" s="48"/>
      <c r="Y159" s="48"/>
      <c r="Z159" s="48"/>
      <c r="AA159" s="48"/>
      <c r="AB159" s="48"/>
      <c r="AC159" s="48"/>
      <c r="AD159" s="48"/>
      <c r="AE159" s="48"/>
      <c r="AF159" s="48"/>
      <c r="AG159" s="48"/>
      <c r="AH159" s="48"/>
      <c r="AI159" s="48"/>
      <c r="AJ159" s="44"/>
      <c r="AK159" s="44"/>
      <c r="AL159" s="44"/>
    </row>
    <row r="160" spans="1:38" x14ac:dyDescent="0.25">
      <c r="A160" s="94"/>
      <c r="B160" s="265" t="s">
        <v>1024</v>
      </c>
      <c r="C160" s="266" t="s">
        <v>281</v>
      </c>
      <c r="D160" s="265" t="s">
        <v>40</v>
      </c>
      <c r="E160" s="265" t="s">
        <v>282</v>
      </c>
      <c r="F160" s="267" t="s">
        <v>41</v>
      </c>
      <c r="G160" s="277">
        <v>715.44</v>
      </c>
      <c r="H160" s="268">
        <v>3.82</v>
      </c>
      <c r="I160" s="287">
        <v>1.53</v>
      </c>
      <c r="J160" s="268">
        <v>1.94</v>
      </c>
      <c r="K160" s="292">
        <v>2.29</v>
      </c>
      <c r="L160" s="268">
        <v>2.91</v>
      </c>
      <c r="M160" s="268">
        <v>4.8499999999999996</v>
      </c>
      <c r="N160" s="268">
        <v>1387.95</v>
      </c>
      <c r="O160" s="268">
        <v>2081.9299999999998</v>
      </c>
      <c r="P160" s="268">
        <v>3469.88</v>
      </c>
      <c r="Q160" s="269">
        <v>1.4E-3</v>
      </c>
      <c r="R160" s="44"/>
      <c r="S160" s="49">
        <f t="shared" si="2"/>
        <v>2732.98</v>
      </c>
      <c r="T160" s="85"/>
      <c r="U160" s="48"/>
      <c r="V160" s="48"/>
      <c r="W160" s="48"/>
      <c r="X160" s="48"/>
      <c r="Y160" s="48"/>
      <c r="Z160" s="48"/>
      <c r="AA160" s="48"/>
      <c r="AB160" s="48"/>
      <c r="AC160" s="48"/>
      <c r="AD160" s="48"/>
      <c r="AE160" s="48"/>
      <c r="AF160" s="48"/>
      <c r="AG160" s="48"/>
      <c r="AH160" s="48"/>
      <c r="AI160" s="48"/>
      <c r="AJ160" s="44"/>
      <c r="AK160" s="44"/>
      <c r="AL160" s="44"/>
    </row>
    <row r="161" spans="1:38" x14ac:dyDescent="0.25">
      <c r="A161" s="94"/>
      <c r="B161" s="265" t="s">
        <v>1049</v>
      </c>
      <c r="C161" s="266" t="s">
        <v>840</v>
      </c>
      <c r="D161" s="265" t="s">
        <v>199</v>
      </c>
      <c r="E161" s="265" t="s">
        <v>841</v>
      </c>
      <c r="F161" s="267" t="s">
        <v>44</v>
      </c>
      <c r="G161" s="277">
        <v>8</v>
      </c>
      <c r="H161" s="268">
        <v>360.65</v>
      </c>
      <c r="I161" s="287">
        <v>63.91</v>
      </c>
      <c r="J161" s="268">
        <v>81.08</v>
      </c>
      <c r="K161" s="292">
        <v>296.74</v>
      </c>
      <c r="L161" s="268">
        <v>376.47</v>
      </c>
      <c r="M161" s="268">
        <v>457.55</v>
      </c>
      <c r="N161" s="268">
        <v>648.64</v>
      </c>
      <c r="O161" s="268">
        <v>3011.76</v>
      </c>
      <c r="P161" s="268">
        <v>3660.4</v>
      </c>
      <c r="Q161" s="269">
        <v>1.4E-3</v>
      </c>
      <c r="R161" s="44"/>
      <c r="S161" s="49">
        <f t="shared" si="2"/>
        <v>2885.2</v>
      </c>
      <c r="T161" s="85"/>
      <c r="U161" s="48"/>
      <c r="V161" s="48"/>
      <c r="W161" s="48"/>
      <c r="X161" s="48"/>
      <c r="Y161" s="48"/>
      <c r="Z161" s="48"/>
      <c r="AA161" s="48"/>
      <c r="AB161" s="48"/>
      <c r="AC161" s="48"/>
      <c r="AD161" s="48"/>
      <c r="AE161" s="48"/>
      <c r="AF161" s="48"/>
      <c r="AG161" s="48"/>
      <c r="AH161" s="48"/>
      <c r="AI161" s="48"/>
      <c r="AJ161" s="44"/>
      <c r="AK161" s="44"/>
      <c r="AL161" s="44"/>
    </row>
    <row r="162" spans="1:38" ht="41.4" x14ac:dyDescent="0.25">
      <c r="A162" s="94"/>
      <c r="B162" s="265" t="s">
        <v>1473</v>
      </c>
      <c r="C162" s="266" t="s">
        <v>867</v>
      </c>
      <c r="D162" s="265" t="s">
        <v>551</v>
      </c>
      <c r="E162" s="265" t="s">
        <v>1058</v>
      </c>
      <c r="F162" s="267" t="s">
        <v>44</v>
      </c>
      <c r="G162" s="277">
        <v>6</v>
      </c>
      <c r="H162" s="268">
        <v>449.47</v>
      </c>
      <c r="I162" s="287">
        <v>21.48</v>
      </c>
      <c r="J162" s="268">
        <v>27.25</v>
      </c>
      <c r="K162" s="292">
        <v>427.99</v>
      </c>
      <c r="L162" s="268">
        <v>542.99</v>
      </c>
      <c r="M162" s="268">
        <v>570.24</v>
      </c>
      <c r="N162" s="268">
        <v>163.5</v>
      </c>
      <c r="O162" s="268">
        <v>3257.94</v>
      </c>
      <c r="P162" s="268">
        <v>3421.44</v>
      </c>
      <c r="Q162" s="269">
        <v>1.4E-3</v>
      </c>
      <c r="R162" s="44"/>
      <c r="S162" s="49">
        <f t="shared" si="2"/>
        <v>2696.82</v>
      </c>
      <c r="T162" s="85"/>
      <c r="U162" s="48"/>
      <c r="V162" s="48"/>
      <c r="W162" s="48"/>
      <c r="X162" s="48"/>
      <c r="Y162" s="48"/>
      <c r="Z162" s="48"/>
      <c r="AA162" s="48"/>
      <c r="AB162" s="48"/>
      <c r="AC162" s="48"/>
      <c r="AD162" s="48"/>
      <c r="AE162" s="48"/>
      <c r="AF162" s="48"/>
      <c r="AG162" s="48"/>
      <c r="AH162" s="48"/>
      <c r="AI162" s="48"/>
      <c r="AJ162" s="44"/>
      <c r="AK162" s="44"/>
      <c r="AL162" s="44"/>
    </row>
    <row r="163" spans="1:38" x14ac:dyDescent="0.25">
      <c r="A163" s="94"/>
      <c r="B163" s="265" t="s">
        <v>1340</v>
      </c>
      <c r="C163" s="266" t="s">
        <v>292</v>
      </c>
      <c r="D163" s="265" t="s">
        <v>40</v>
      </c>
      <c r="E163" s="265" t="s">
        <v>293</v>
      </c>
      <c r="F163" s="267" t="s">
        <v>41</v>
      </c>
      <c r="G163" s="277">
        <v>109.55</v>
      </c>
      <c r="H163" s="268">
        <v>26.14</v>
      </c>
      <c r="I163" s="287">
        <v>2.3199999999999998</v>
      </c>
      <c r="J163" s="268">
        <v>2.94</v>
      </c>
      <c r="K163" s="292">
        <v>23.82</v>
      </c>
      <c r="L163" s="268">
        <v>30.22</v>
      </c>
      <c r="M163" s="268">
        <v>33.159999999999997</v>
      </c>
      <c r="N163" s="268">
        <v>322.08</v>
      </c>
      <c r="O163" s="268">
        <v>3310.6</v>
      </c>
      <c r="P163" s="268">
        <v>3632.68</v>
      </c>
      <c r="Q163" s="269">
        <v>1.4E-3</v>
      </c>
      <c r="R163" s="44"/>
      <c r="S163" s="49">
        <f t="shared" si="2"/>
        <v>2863.64</v>
      </c>
      <c r="T163" s="85"/>
      <c r="U163" s="48"/>
      <c r="V163" s="48"/>
      <c r="W163" s="48"/>
      <c r="X163" s="48"/>
      <c r="Y163" s="48"/>
      <c r="Z163" s="48"/>
      <c r="AA163" s="48"/>
      <c r="AB163" s="48"/>
      <c r="AC163" s="48"/>
      <c r="AD163" s="48"/>
      <c r="AE163" s="48"/>
      <c r="AF163" s="48"/>
      <c r="AG163" s="48"/>
      <c r="AH163" s="48"/>
      <c r="AI163" s="48"/>
      <c r="AJ163" s="44"/>
      <c r="AK163" s="44"/>
      <c r="AL163" s="44"/>
    </row>
    <row r="164" spans="1:38" x14ac:dyDescent="0.25">
      <c r="A164" s="94"/>
      <c r="B164" s="265" t="s">
        <v>1428</v>
      </c>
      <c r="C164" s="266" t="s">
        <v>1429</v>
      </c>
      <c r="D164" s="265" t="s">
        <v>51</v>
      </c>
      <c r="E164" s="265" t="s">
        <v>1430</v>
      </c>
      <c r="F164" s="267" t="s">
        <v>41</v>
      </c>
      <c r="G164" s="277">
        <v>2.52</v>
      </c>
      <c r="H164" s="268">
        <v>1063.5899999999999</v>
      </c>
      <c r="I164" s="287">
        <v>477.54</v>
      </c>
      <c r="J164" s="268">
        <v>605.85</v>
      </c>
      <c r="K164" s="292">
        <v>586.04999999999995</v>
      </c>
      <c r="L164" s="268">
        <v>743.52</v>
      </c>
      <c r="M164" s="268">
        <v>1349.37</v>
      </c>
      <c r="N164" s="268">
        <v>1526.74</v>
      </c>
      <c r="O164" s="268">
        <v>1873.67</v>
      </c>
      <c r="P164" s="268">
        <v>3400.41</v>
      </c>
      <c r="Q164" s="269">
        <v>1.2999999999999999E-3</v>
      </c>
      <c r="R164" s="44"/>
      <c r="S164" s="49">
        <f t="shared" si="2"/>
        <v>2680.25</v>
      </c>
      <c r="T164" s="85"/>
      <c r="U164" s="48"/>
      <c r="V164" s="48"/>
      <c r="W164" s="48"/>
      <c r="X164" s="48"/>
      <c r="Y164" s="48"/>
      <c r="Z164" s="48"/>
      <c r="AA164" s="48"/>
      <c r="AB164" s="48"/>
      <c r="AC164" s="48"/>
      <c r="AD164" s="48"/>
      <c r="AE164" s="48"/>
      <c r="AF164" s="48"/>
      <c r="AG164" s="48"/>
      <c r="AH164" s="48"/>
      <c r="AI164" s="48"/>
      <c r="AJ164" s="44"/>
      <c r="AK164" s="44"/>
      <c r="AL164" s="44"/>
    </row>
    <row r="165" spans="1:38" ht="27.6" x14ac:dyDescent="0.25">
      <c r="A165" s="94"/>
      <c r="B165" s="265" t="s">
        <v>1202</v>
      </c>
      <c r="C165" s="266" t="s">
        <v>607</v>
      </c>
      <c r="D165" s="265" t="s">
        <v>40</v>
      </c>
      <c r="E165" s="265" t="s">
        <v>608</v>
      </c>
      <c r="F165" s="267" t="s">
        <v>55</v>
      </c>
      <c r="G165" s="277">
        <v>100.9</v>
      </c>
      <c r="H165" s="268">
        <v>26.53</v>
      </c>
      <c r="I165" s="287">
        <v>8.8800000000000008</v>
      </c>
      <c r="J165" s="268">
        <v>11.27</v>
      </c>
      <c r="K165" s="292">
        <v>17.649999999999999</v>
      </c>
      <c r="L165" s="268">
        <v>22.39</v>
      </c>
      <c r="M165" s="268">
        <v>33.659999999999997</v>
      </c>
      <c r="N165" s="268">
        <v>1137.1400000000001</v>
      </c>
      <c r="O165" s="268">
        <v>2259.15</v>
      </c>
      <c r="P165" s="268">
        <v>3396.29</v>
      </c>
      <c r="Q165" s="269">
        <v>1.2999999999999999E-3</v>
      </c>
      <c r="R165" s="44"/>
      <c r="S165" s="49">
        <f t="shared" si="2"/>
        <v>2676.88</v>
      </c>
      <c r="T165" s="85"/>
      <c r="U165" s="48"/>
      <c r="V165" s="48"/>
      <c r="W165" s="48"/>
      <c r="X165" s="48"/>
      <c r="Y165" s="48"/>
      <c r="Z165" s="48"/>
      <c r="AA165" s="48"/>
      <c r="AB165" s="48"/>
      <c r="AC165" s="48"/>
      <c r="AD165" s="48"/>
      <c r="AE165" s="48"/>
      <c r="AF165" s="48"/>
      <c r="AG165" s="48"/>
      <c r="AH165" s="48"/>
      <c r="AI165" s="48"/>
      <c r="AJ165" s="44"/>
      <c r="AK165" s="44"/>
      <c r="AL165" s="44"/>
    </row>
    <row r="166" spans="1:38" ht="27.6" x14ac:dyDescent="0.25">
      <c r="A166" s="94"/>
      <c r="B166" s="265" t="s">
        <v>1207</v>
      </c>
      <c r="C166" s="266" t="s">
        <v>171</v>
      </c>
      <c r="D166" s="265" t="s">
        <v>40</v>
      </c>
      <c r="E166" s="265" t="s">
        <v>172</v>
      </c>
      <c r="F166" s="267" t="s">
        <v>44</v>
      </c>
      <c r="G166" s="277">
        <v>28</v>
      </c>
      <c r="H166" s="268">
        <v>94.35</v>
      </c>
      <c r="I166" s="287">
        <v>7.32</v>
      </c>
      <c r="J166" s="268">
        <v>9.2899999999999991</v>
      </c>
      <c r="K166" s="292">
        <v>87.03</v>
      </c>
      <c r="L166" s="268">
        <v>110.41</v>
      </c>
      <c r="M166" s="268">
        <v>119.7</v>
      </c>
      <c r="N166" s="268">
        <v>260.12</v>
      </c>
      <c r="O166" s="268">
        <v>3091.48</v>
      </c>
      <c r="P166" s="268">
        <v>3351.6</v>
      </c>
      <c r="Q166" s="269">
        <v>1.2999999999999999E-3</v>
      </c>
      <c r="R166" s="44"/>
      <c r="S166" s="49">
        <f t="shared" si="2"/>
        <v>2641.8</v>
      </c>
      <c r="T166" s="85"/>
      <c r="U166" s="48"/>
      <c r="V166" s="48"/>
      <c r="W166" s="48"/>
      <c r="X166" s="48"/>
      <c r="Y166" s="48"/>
      <c r="Z166" s="48"/>
      <c r="AA166" s="48"/>
      <c r="AB166" s="48"/>
      <c r="AC166" s="48"/>
      <c r="AD166" s="48"/>
      <c r="AE166" s="48"/>
      <c r="AF166" s="48"/>
      <c r="AG166" s="48"/>
      <c r="AH166" s="48"/>
      <c r="AI166" s="48"/>
      <c r="AJ166" s="44"/>
      <c r="AK166" s="44"/>
      <c r="AL166" s="44"/>
    </row>
    <row r="167" spans="1:38" ht="27.6" x14ac:dyDescent="0.25">
      <c r="A167" s="94"/>
      <c r="B167" s="265" t="s">
        <v>1433</v>
      </c>
      <c r="C167" s="266" t="s">
        <v>277</v>
      </c>
      <c r="D167" s="265" t="s">
        <v>40</v>
      </c>
      <c r="E167" s="265" t="s">
        <v>278</v>
      </c>
      <c r="F167" s="267" t="s">
        <v>44</v>
      </c>
      <c r="G167" s="277">
        <v>24</v>
      </c>
      <c r="H167" s="268">
        <v>105.18</v>
      </c>
      <c r="I167" s="287">
        <v>13.57</v>
      </c>
      <c r="J167" s="268">
        <v>17.22</v>
      </c>
      <c r="K167" s="292">
        <v>91.61</v>
      </c>
      <c r="L167" s="268">
        <v>116.23</v>
      </c>
      <c r="M167" s="268">
        <v>133.44999999999999</v>
      </c>
      <c r="N167" s="268">
        <v>413.28</v>
      </c>
      <c r="O167" s="268">
        <v>2789.52</v>
      </c>
      <c r="P167" s="268">
        <v>3202.8</v>
      </c>
      <c r="Q167" s="269">
        <v>1.2999999999999999E-3</v>
      </c>
      <c r="R167" s="44"/>
      <c r="S167" s="49">
        <f t="shared" si="2"/>
        <v>2524.3200000000002</v>
      </c>
      <c r="T167" s="85"/>
      <c r="U167" s="48"/>
      <c r="V167" s="48"/>
      <c r="W167" s="48"/>
      <c r="X167" s="48"/>
      <c r="Y167" s="48"/>
      <c r="Z167" s="48"/>
      <c r="AA167" s="48"/>
      <c r="AB167" s="48"/>
      <c r="AC167" s="48"/>
      <c r="AD167" s="48"/>
      <c r="AE167" s="48"/>
      <c r="AF167" s="48"/>
      <c r="AG167" s="48"/>
      <c r="AH167" s="48"/>
      <c r="AI167" s="48"/>
      <c r="AJ167" s="44"/>
      <c r="AK167" s="44"/>
      <c r="AL167" s="44"/>
    </row>
    <row r="168" spans="1:38" ht="41.4" x14ac:dyDescent="0.25">
      <c r="A168" s="94"/>
      <c r="B168" s="265" t="s">
        <v>56</v>
      </c>
      <c r="C168" s="266" t="s">
        <v>1360</v>
      </c>
      <c r="D168" s="265" t="s">
        <v>40</v>
      </c>
      <c r="E168" s="265" t="s">
        <v>1361</v>
      </c>
      <c r="F168" s="267" t="s">
        <v>59</v>
      </c>
      <c r="G168" s="277">
        <v>190.69</v>
      </c>
      <c r="H168" s="268">
        <v>12.36</v>
      </c>
      <c r="I168" s="287">
        <v>3.76</v>
      </c>
      <c r="J168" s="268">
        <v>4.7699999999999996</v>
      </c>
      <c r="K168" s="292">
        <v>8.6</v>
      </c>
      <c r="L168" s="268">
        <v>10.91</v>
      </c>
      <c r="M168" s="268">
        <v>15.68</v>
      </c>
      <c r="N168" s="268">
        <v>909.59</v>
      </c>
      <c r="O168" s="268">
        <v>2080.4299999999998</v>
      </c>
      <c r="P168" s="268">
        <v>2990.02</v>
      </c>
      <c r="Q168" s="269">
        <v>1.1999999999999999E-3</v>
      </c>
      <c r="R168" s="44"/>
      <c r="S168" s="49">
        <f t="shared" si="2"/>
        <v>2356.9299999999998</v>
      </c>
      <c r="T168" s="85"/>
      <c r="U168" s="48"/>
      <c r="V168" s="48"/>
      <c r="W168" s="48"/>
      <c r="X168" s="48"/>
      <c r="Y168" s="48"/>
      <c r="Z168" s="48"/>
      <c r="AA168" s="48"/>
      <c r="AB168" s="48"/>
      <c r="AC168" s="48"/>
      <c r="AD168" s="48"/>
      <c r="AE168" s="48"/>
      <c r="AF168" s="48"/>
      <c r="AG168" s="48"/>
      <c r="AH168" s="48"/>
      <c r="AI168" s="48"/>
      <c r="AJ168" s="44"/>
      <c r="AK168" s="44"/>
      <c r="AL168" s="44"/>
    </row>
    <row r="169" spans="1:38" ht="27.6" x14ac:dyDescent="0.25">
      <c r="A169" s="94"/>
      <c r="B169" s="265" t="s">
        <v>824</v>
      </c>
      <c r="C169" s="266" t="s">
        <v>546</v>
      </c>
      <c r="D169" s="265" t="s">
        <v>40</v>
      </c>
      <c r="E169" s="265" t="s">
        <v>547</v>
      </c>
      <c r="F169" s="267" t="s">
        <v>44</v>
      </c>
      <c r="G169" s="277">
        <v>46</v>
      </c>
      <c r="H169" s="268">
        <v>49.95</v>
      </c>
      <c r="I169" s="287">
        <v>22.43</v>
      </c>
      <c r="J169" s="268">
        <v>28.46</v>
      </c>
      <c r="K169" s="292">
        <v>27.52</v>
      </c>
      <c r="L169" s="268">
        <v>34.909999999999997</v>
      </c>
      <c r="M169" s="268">
        <v>63.37</v>
      </c>
      <c r="N169" s="268">
        <v>1309.1600000000001</v>
      </c>
      <c r="O169" s="268">
        <v>1605.86</v>
      </c>
      <c r="P169" s="268">
        <v>2915.02</v>
      </c>
      <c r="Q169" s="269">
        <v>1.1999999999999999E-3</v>
      </c>
      <c r="R169" s="44"/>
      <c r="S169" s="49">
        <f t="shared" si="2"/>
        <v>2297.6999999999998</v>
      </c>
      <c r="T169" s="85"/>
      <c r="U169" s="48"/>
      <c r="V169" s="48"/>
      <c r="W169" s="48"/>
      <c r="X169" s="48"/>
      <c r="Y169" s="48"/>
      <c r="Z169" s="48"/>
      <c r="AA169" s="48"/>
      <c r="AB169" s="48"/>
      <c r="AC169" s="48"/>
      <c r="AD169" s="48"/>
      <c r="AE169" s="48"/>
      <c r="AF169" s="48"/>
      <c r="AG169" s="48"/>
      <c r="AH169" s="48"/>
      <c r="AI169" s="48"/>
      <c r="AJ169" s="44"/>
      <c r="AK169" s="44"/>
      <c r="AL169" s="44"/>
    </row>
    <row r="170" spans="1:38" x14ac:dyDescent="0.25">
      <c r="A170" s="94"/>
      <c r="B170" s="265" t="s">
        <v>1042</v>
      </c>
      <c r="C170" s="266" t="s">
        <v>838</v>
      </c>
      <c r="D170" s="265" t="s">
        <v>146</v>
      </c>
      <c r="E170" s="265" t="s">
        <v>839</v>
      </c>
      <c r="F170" s="267" t="s">
        <v>168</v>
      </c>
      <c r="G170" s="277">
        <v>1</v>
      </c>
      <c r="H170" s="268">
        <v>2408.48</v>
      </c>
      <c r="I170" s="287">
        <v>8.17</v>
      </c>
      <c r="J170" s="268">
        <v>10.37</v>
      </c>
      <c r="K170" s="292">
        <v>2400.31</v>
      </c>
      <c r="L170" s="268">
        <v>3045.27</v>
      </c>
      <c r="M170" s="268">
        <v>3055.64</v>
      </c>
      <c r="N170" s="268">
        <v>10.37</v>
      </c>
      <c r="O170" s="268">
        <v>3045.27</v>
      </c>
      <c r="P170" s="268">
        <v>3055.64</v>
      </c>
      <c r="Q170" s="269">
        <v>1.1999999999999999E-3</v>
      </c>
      <c r="R170" s="44"/>
      <c r="S170" s="49">
        <f t="shared" si="2"/>
        <v>2408.48</v>
      </c>
      <c r="T170" s="85"/>
      <c r="U170" s="48"/>
      <c r="V170" s="48"/>
      <c r="W170" s="48"/>
      <c r="X170" s="48"/>
      <c r="Y170" s="48"/>
      <c r="Z170" s="48"/>
      <c r="AA170" s="48"/>
      <c r="AB170" s="48"/>
      <c r="AC170" s="48"/>
      <c r="AD170" s="48"/>
      <c r="AE170" s="48"/>
      <c r="AF170" s="48"/>
      <c r="AG170" s="48"/>
      <c r="AH170" s="48"/>
      <c r="AI170" s="48"/>
      <c r="AJ170" s="44"/>
      <c r="AK170" s="44"/>
      <c r="AL170" s="44"/>
    </row>
    <row r="171" spans="1:38" ht="27.6" x14ac:dyDescent="0.25">
      <c r="A171" s="94"/>
      <c r="B171" s="265" t="s">
        <v>1287</v>
      </c>
      <c r="C171" s="266" t="s">
        <v>397</v>
      </c>
      <c r="D171" s="265" t="s">
        <v>40</v>
      </c>
      <c r="E171" s="265" t="s">
        <v>398</v>
      </c>
      <c r="F171" s="267" t="s">
        <v>55</v>
      </c>
      <c r="G171" s="277">
        <v>114.8</v>
      </c>
      <c r="H171" s="268">
        <v>20.190000000000001</v>
      </c>
      <c r="I171" s="287">
        <v>12.65</v>
      </c>
      <c r="J171" s="268">
        <v>16.05</v>
      </c>
      <c r="K171" s="292">
        <v>7.54</v>
      </c>
      <c r="L171" s="268">
        <v>9.57</v>
      </c>
      <c r="M171" s="268">
        <v>25.62</v>
      </c>
      <c r="N171" s="268">
        <v>1842.54</v>
      </c>
      <c r="O171" s="268">
        <v>1098.6400000000001</v>
      </c>
      <c r="P171" s="268">
        <v>2941.18</v>
      </c>
      <c r="Q171" s="269">
        <v>1.1999999999999999E-3</v>
      </c>
      <c r="R171" s="44"/>
      <c r="S171" s="49">
        <f t="shared" si="2"/>
        <v>2317.81</v>
      </c>
      <c r="T171" s="85"/>
      <c r="U171" s="48"/>
      <c r="V171" s="48"/>
      <c r="W171" s="48"/>
      <c r="X171" s="48"/>
      <c r="Y171" s="48"/>
      <c r="Z171" s="48"/>
      <c r="AA171" s="48"/>
      <c r="AB171" s="48"/>
      <c r="AC171" s="48"/>
      <c r="AD171" s="48"/>
      <c r="AE171" s="48"/>
      <c r="AF171" s="48"/>
      <c r="AG171" s="48"/>
      <c r="AH171" s="48"/>
      <c r="AI171" s="48"/>
      <c r="AJ171" s="44"/>
      <c r="AK171" s="44"/>
      <c r="AL171" s="44"/>
    </row>
    <row r="172" spans="1:38" ht="27.6" customHeight="1" x14ac:dyDescent="0.25">
      <c r="A172" s="94"/>
      <c r="B172" s="265" t="s">
        <v>1079</v>
      </c>
      <c r="C172" s="266" t="s">
        <v>211</v>
      </c>
      <c r="D172" s="265" t="s">
        <v>40</v>
      </c>
      <c r="E172" s="265" t="s">
        <v>212</v>
      </c>
      <c r="F172" s="267" t="s">
        <v>55</v>
      </c>
      <c r="G172" s="277">
        <v>357.8</v>
      </c>
      <c r="H172" s="268">
        <v>6.59</v>
      </c>
      <c r="I172" s="287">
        <v>1.32</v>
      </c>
      <c r="J172" s="268">
        <v>1.67</v>
      </c>
      <c r="K172" s="292">
        <v>5.27</v>
      </c>
      <c r="L172" s="268">
        <v>6.69</v>
      </c>
      <c r="M172" s="268">
        <v>8.36</v>
      </c>
      <c r="N172" s="268">
        <v>597.53</v>
      </c>
      <c r="O172" s="268">
        <v>2393.6799999999998</v>
      </c>
      <c r="P172" s="268">
        <v>2991.21</v>
      </c>
      <c r="Q172" s="269">
        <v>1.1999999999999999E-3</v>
      </c>
      <c r="R172" s="44"/>
      <c r="S172" s="49">
        <f t="shared" si="2"/>
        <v>2357.9</v>
      </c>
      <c r="T172" s="85"/>
      <c r="U172" s="48"/>
      <c r="V172" s="48"/>
      <c r="W172" s="48"/>
      <c r="X172" s="48"/>
      <c r="Y172" s="48"/>
      <c r="Z172" s="48"/>
      <c r="AA172" s="48"/>
      <c r="AB172" s="48"/>
      <c r="AC172" s="48"/>
      <c r="AD172" s="48"/>
      <c r="AE172" s="48"/>
      <c r="AF172" s="48"/>
      <c r="AG172" s="48"/>
      <c r="AH172" s="48"/>
      <c r="AI172" s="48"/>
      <c r="AJ172" s="44"/>
      <c r="AK172" s="44"/>
      <c r="AL172" s="44"/>
    </row>
    <row r="173" spans="1:38" ht="27.6" x14ac:dyDescent="0.25">
      <c r="A173" s="94"/>
      <c r="B173" s="265" t="s">
        <v>1557</v>
      </c>
      <c r="C173" s="266">
        <v>93008</v>
      </c>
      <c r="D173" s="265" t="s">
        <v>40</v>
      </c>
      <c r="E173" s="265" t="s">
        <v>715</v>
      </c>
      <c r="F173" s="267" t="s">
        <v>55</v>
      </c>
      <c r="G173" s="277">
        <v>115.6</v>
      </c>
      <c r="H173" s="268">
        <v>19.84</v>
      </c>
      <c r="I173" s="287">
        <v>3.78</v>
      </c>
      <c r="J173" s="268">
        <v>4.8</v>
      </c>
      <c r="K173" s="292">
        <v>16.059999999999999</v>
      </c>
      <c r="L173" s="268">
        <v>20.38</v>
      </c>
      <c r="M173" s="268">
        <v>25.18</v>
      </c>
      <c r="N173" s="268">
        <v>554.88</v>
      </c>
      <c r="O173" s="268">
        <v>2355.9299999999998</v>
      </c>
      <c r="P173" s="268">
        <v>2910.81</v>
      </c>
      <c r="Q173" s="269">
        <v>1.1999999999999999E-3</v>
      </c>
      <c r="R173" s="44"/>
      <c r="S173" s="49">
        <f t="shared" si="2"/>
        <v>2293.5</v>
      </c>
      <c r="T173" s="85"/>
      <c r="U173" s="48"/>
      <c r="V173" s="48"/>
      <c r="W173" s="48"/>
      <c r="X173" s="48"/>
      <c r="Y173" s="48"/>
      <c r="Z173" s="48"/>
      <c r="AA173" s="48"/>
      <c r="AB173" s="48"/>
      <c r="AC173" s="48"/>
      <c r="AD173" s="48"/>
      <c r="AE173" s="48"/>
      <c r="AF173" s="48"/>
      <c r="AG173" s="48"/>
      <c r="AH173" s="48"/>
      <c r="AI173" s="48"/>
      <c r="AJ173" s="44"/>
      <c r="AK173" s="44"/>
      <c r="AL173" s="44"/>
    </row>
    <row r="174" spans="1:38" ht="27.6" customHeight="1" x14ac:dyDescent="0.25">
      <c r="A174" s="94"/>
      <c r="B174" s="265" t="s">
        <v>845</v>
      </c>
      <c r="C174" s="266" t="s">
        <v>277</v>
      </c>
      <c r="D174" s="265" t="s">
        <v>40</v>
      </c>
      <c r="E174" s="265" t="s">
        <v>278</v>
      </c>
      <c r="F174" s="267" t="s">
        <v>44</v>
      </c>
      <c r="G174" s="277">
        <v>22</v>
      </c>
      <c r="H174" s="268">
        <v>105.18</v>
      </c>
      <c r="I174" s="287">
        <v>13.57</v>
      </c>
      <c r="J174" s="268">
        <v>17.22</v>
      </c>
      <c r="K174" s="292">
        <v>91.61</v>
      </c>
      <c r="L174" s="268">
        <v>116.23</v>
      </c>
      <c r="M174" s="268">
        <v>133.44999999999999</v>
      </c>
      <c r="N174" s="268">
        <v>378.84</v>
      </c>
      <c r="O174" s="268">
        <v>2557.06</v>
      </c>
      <c r="P174" s="268">
        <v>2935.9</v>
      </c>
      <c r="Q174" s="269">
        <v>1.1999999999999999E-3</v>
      </c>
      <c r="R174" s="44"/>
      <c r="S174" s="49">
        <f t="shared" si="2"/>
        <v>2313.96</v>
      </c>
      <c r="T174" s="126"/>
      <c r="U174" s="48"/>
      <c r="V174" s="48"/>
      <c r="W174" s="48"/>
      <c r="X174" s="48"/>
      <c r="Y174" s="48"/>
      <c r="Z174" s="48"/>
      <c r="AA174" s="48"/>
      <c r="AB174" s="48"/>
      <c r="AC174" s="48"/>
      <c r="AD174" s="48"/>
      <c r="AE174" s="48"/>
      <c r="AF174" s="48"/>
      <c r="AG174" s="48"/>
      <c r="AH174" s="48"/>
      <c r="AI174" s="48"/>
      <c r="AJ174" s="44"/>
      <c r="AK174" s="44"/>
      <c r="AL174" s="44"/>
    </row>
    <row r="175" spans="1:38" ht="27.6" x14ac:dyDescent="0.25">
      <c r="A175" s="94"/>
      <c r="B175" s="265" t="s">
        <v>126</v>
      </c>
      <c r="C175" s="266" t="s">
        <v>130</v>
      </c>
      <c r="D175" s="265" t="s">
        <v>40</v>
      </c>
      <c r="E175" s="265" t="s">
        <v>131</v>
      </c>
      <c r="F175" s="267" t="s">
        <v>65</v>
      </c>
      <c r="G175" s="277">
        <v>197.5</v>
      </c>
      <c r="H175" s="268">
        <v>11.12</v>
      </c>
      <c r="I175" s="287">
        <v>0.69</v>
      </c>
      <c r="J175" s="268">
        <v>0.88</v>
      </c>
      <c r="K175" s="292">
        <v>10.43</v>
      </c>
      <c r="L175" s="268">
        <v>13.23</v>
      </c>
      <c r="M175" s="268">
        <v>14.11</v>
      </c>
      <c r="N175" s="268">
        <v>173.8</v>
      </c>
      <c r="O175" s="268">
        <v>2612.9299999999998</v>
      </c>
      <c r="P175" s="268">
        <v>2786.73</v>
      </c>
      <c r="Q175" s="269">
        <v>1.1000000000000001E-3</v>
      </c>
      <c r="R175" s="44"/>
      <c r="S175" s="49">
        <f t="shared" si="2"/>
        <v>2196.1999999999998</v>
      </c>
      <c r="T175" s="85"/>
      <c r="U175" s="48"/>
      <c r="V175" s="48"/>
      <c r="W175" s="48"/>
      <c r="X175" s="48"/>
      <c r="Y175" s="48"/>
      <c r="Z175" s="48"/>
      <c r="AA175" s="48"/>
      <c r="AB175" s="48"/>
      <c r="AC175" s="48"/>
      <c r="AD175" s="48"/>
      <c r="AE175" s="48"/>
      <c r="AF175" s="48"/>
      <c r="AG175" s="48"/>
      <c r="AH175" s="48"/>
      <c r="AI175" s="48"/>
      <c r="AJ175" s="44"/>
      <c r="AK175" s="44"/>
      <c r="AL175" s="44"/>
    </row>
    <row r="176" spans="1:38" x14ac:dyDescent="0.25">
      <c r="A176" s="94"/>
      <c r="B176" s="265" t="s">
        <v>1052</v>
      </c>
      <c r="C176" s="266" t="s">
        <v>264</v>
      </c>
      <c r="D176" s="265" t="s">
        <v>146</v>
      </c>
      <c r="E176" s="265" t="s">
        <v>265</v>
      </c>
      <c r="F176" s="267" t="s">
        <v>168</v>
      </c>
      <c r="G176" s="277">
        <v>10</v>
      </c>
      <c r="H176" s="268">
        <v>221.78</v>
      </c>
      <c r="I176" s="287">
        <v>6.88</v>
      </c>
      <c r="J176" s="268">
        <v>8.73</v>
      </c>
      <c r="K176" s="292">
        <v>214.9</v>
      </c>
      <c r="L176" s="268">
        <v>272.64</v>
      </c>
      <c r="M176" s="268">
        <v>281.37</v>
      </c>
      <c r="N176" s="268">
        <v>87.3</v>
      </c>
      <c r="O176" s="268">
        <v>2726.4</v>
      </c>
      <c r="P176" s="268">
        <v>2813.7</v>
      </c>
      <c r="Q176" s="269">
        <v>1.1000000000000001E-3</v>
      </c>
      <c r="R176" s="44"/>
      <c r="S176" s="49">
        <f t="shared" si="2"/>
        <v>2217.8000000000002</v>
      </c>
      <c r="T176" s="85"/>
      <c r="U176" s="48"/>
      <c r="V176" s="48"/>
      <c r="W176" s="48"/>
      <c r="X176" s="48"/>
      <c r="Y176" s="48"/>
      <c r="Z176" s="48"/>
      <c r="AA176" s="48"/>
      <c r="AB176" s="48"/>
      <c r="AC176" s="48"/>
      <c r="AD176" s="48"/>
      <c r="AE176" s="48"/>
      <c r="AF176" s="48"/>
      <c r="AG176" s="48"/>
      <c r="AH176" s="48"/>
      <c r="AI176" s="48"/>
      <c r="AJ176" s="44"/>
      <c r="AK176" s="44"/>
      <c r="AL176" s="44"/>
    </row>
    <row r="177" spans="1:38" x14ac:dyDescent="0.25">
      <c r="A177" s="94"/>
      <c r="B177" s="265" t="s">
        <v>1264</v>
      </c>
      <c r="C177" s="266" t="s">
        <v>659</v>
      </c>
      <c r="D177" s="265" t="s">
        <v>199</v>
      </c>
      <c r="E177" s="265" t="s">
        <v>768</v>
      </c>
      <c r="F177" s="267" t="s">
        <v>240</v>
      </c>
      <c r="G177" s="277">
        <v>48.9</v>
      </c>
      <c r="H177" s="268">
        <v>44.3</v>
      </c>
      <c r="I177" s="287">
        <v>22.83</v>
      </c>
      <c r="J177" s="268">
        <v>28.96</v>
      </c>
      <c r="K177" s="292">
        <v>21.47</v>
      </c>
      <c r="L177" s="268">
        <v>27.24</v>
      </c>
      <c r="M177" s="268">
        <v>56.2</v>
      </c>
      <c r="N177" s="268">
        <v>1416.14</v>
      </c>
      <c r="O177" s="268">
        <v>1332.04</v>
      </c>
      <c r="P177" s="268">
        <v>2748.18</v>
      </c>
      <c r="Q177" s="269">
        <v>1.1000000000000001E-3</v>
      </c>
      <c r="R177" s="44"/>
      <c r="S177" s="49">
        <f t="shared" si="2"/>
        <v>2166.27</v>
      </c>
      <c r="T177" s="85"/>
      <c r="U177" s="48"/>
      <c r="V177" s="48"/>
      <c r="W177" s="48"/>
      <c r="X177" s="48"/>
      <c r="Y177" s="48"/>
      <c r="Z177" s="48"/>
      <c r="AA177" s="48"/>
      <c r="AB177" s="48"/>
      <c r="AC177" s="48"/>
      <c r="AD177" s="48"/>
      <c r="AE177" s="48"/>
      <c r="AF177" s="48"/>
      <c r="AG177" s="48"/>
      <c r="AH177" s="48"/>
      <c r="AI177" s="48"/>
      <c r="AJ177" s="44"/>
      <c r="AK177" s="44"/>
      <c r="AL177" s="44"/>
    </row>
    <row r="178" spans="1:38" ht="27.6" x14ac:dyDescent="0.25">
      <c r="A178" s="94"/>
      <c r="B178" s="265" t="s">
        <v>1275</v>
      </c>
      <c r="C178" s="266" t="s">
        <v>856</v>
      </c>
      <c r="D178" s="265" t="s">
        <v>146</v>
      </c>
      <c r="E178" s="265" t="s">
        <v>1107</v>
      </c>
      <c r="F178" s="267" t="s">
        <v>168</v>
      </c>
      <c r="G178" s="277">
        <v>4</v>
      </c>
      <c r="H178" s="268">
        <v>543.91</v>
      </c>
      <c r="I178" s="287">
        <v>151.4</v>
      </c>
      <c r="J178" s="268">
        <v>192.08</v>
      </c>
      <c r="K178" s="292">
        <v>392.51</v>
      </c>
      <c r="L178" s="268">
        <v>497.98</v>
      </c>
      <c r="M178" s="268">
        <v>690.06</v>
      </c>
      <c r="N178" s="268">
        <v>768.32</v>
      </c>
      <c r="O178" s="268">
        <v>1991.92</v>
      </c>
      <c r="P178" s="268">
        <v>2760.24</v>
      </c>
      <c r="Q178" s="269">
        <v>1.1000000000000001E-3</v>
      </c>
      <c r="R178" s="44"/>
      <c r="S178" s="49">
        <f t="shared" si="2"/>
        <v>2175.64</v>
      </c>
      <c r="T178" s="85"/>
      <c r="U178" s="48"/>
      <c r="V178" s="48"/>
      <c r="W178" s="48"/>
      <c r="X178" s="48"/>
      <c r="Y178" s="48"/>
      <c r="Z178" s="48"/>
      <c r="AA178" s="48"/>
      <c r="AB178" s="48"/>
      <c r="AC178" s="48"/>
      <c r="AD178" s="48"/>
      <c r="AE178" s="48"/>
      <c r="AF178" s="48"/>
      <c r="AG178" s="48"/>
      <c r="AH178" s="48"/>
      <c r="AI178" s="48"/>
      <c r="AJ178" s="44"/>
      <c r="AK178" s="44"/>
      <c r="AL178" s="44"/>
    </row>
    <row r="179" spans="1:38" ht="27.6" x14ac:dyDescent="0.25">
      <c r="A179" s="94"/>
      <c r="B179" s="265" t="s">
        <v>1276</v>
      </c>
      <c r="C179" s="266" t="s">
        <v>1492</v>
      </c>
      <c r="D179" s="265" t="s">
        <v>40</v>
      </c>
      <c r="E179" s="265" t="s">
        <v>1493</v>
      </c>
      <c r="F179" s="267" t="s">
        <v>44</v>
      </c>
      <c r="G179" s="277">
        <v>1</v>
      </c>
      <c r="H179" s="268">
        <v>2186.5700000000002</v>
      </c>
      <c r="I179" s="287">
        <v>568.54999999999995</v>
      </c>
      <c r="J179" s="268">
        <v>721.32</v>
      </c>
      <c r="K179" s="292">
        <v>1618.02</v>
      </c>
      <c r="L179" s="268">
        <v>2052.7800000000002</v>
      </c>
      <c r="M179" s="268">
        <v>2774.1</v>
      </c>
      <c r="N179" s="268">
        <v>721.32</v>
      </c>
      <c r="O179" s="268">
        <v>2052.7800000000002</v>
      </c>
      <c r="P179" s="268">
        <v>2774.1</v>
      </c>
      <c r="Q179" s="269">
        <v>1.1000000000000001E-3</v>
      </c>
      <c r="R179" s="44"/>
      <c r="S179" s="49">
        <f t="shared" si="2"/>
        <v>2186.5700000000002</v>
      </c>
      <c r="T179" s="85"/>
      <c r="U179" s="48"/>
      <c r="V179" s="48"/>
      <c r="W179" s="48"/>
      <c r="X179" s="48"/>
      <c r="Y179" s="48"/>
      <c r="Z179" s="48"/>
      <c r="AA179" s="48"/>
      <c r="AB179" s="48"/>
      <c r="AC179" s="48"/>
      <c r="AD179" s="48"/>
      <c r="AE179" s="48"/>
      <c r="AF179" s="48"/>
      <c r="AG179" s="48"/>
      <c r="AH179" s="48"/>
      <c r="AI179" s="48"/>
      <c r="AJ179" s="44"/>
      <c r="AK179" s="44"/>
      <c r="AL179" s="44"/>
    </row>
    <row r="180" spans="1:38" ht="27.6" x14ac:dyDescent="0.25">
      <c r="A180" s="94"/>
      <c r="B180" s="265" t="s">
        <v>1280</v>
      </c>
      <c r="C180" s="266" t="s">
        <v>656</v>
      </c>
      <c r="D180" s="265" t="s">
        <v>199</v>
      </c>
      <c r="E180" s="265" t="s">
        <v>765</v>
      </c>
      <c r="F180" s="267" t="s">
        <v>240</v>
      </c>
      <c r="G180" s="277">
        <v>21.7</v>
      </c>
      <c r="H180" s="268">
        <v>100.91</v>
      </c>
      <c r="I180" s="287">
        <v>50.22</v>
      </c>
      <c r="J180" s="268">
        <v>63.71</v>
      </c>
      <c r="K180" s="292">
        <v>50.69</v>
      </c>
      <c r="L180" s="268">
        <v>64.31</v>
      </c>
      <c r="M180" s="268">
        <v>128.02000000000001</v>
      </c>
      <c r="N180" s="268">
        <v>1382.51</v>
      </c>
      <c r="O180" s="268">
        <v>1395.53</v>
      </c>
      <c r="P180" s="268">
        <v>2778.04</v>
      </c>
      <c r="Q180" s="269">
        <v>1.1000000000000001E-3</v>
      </c>
      <c r="R180" s="44"/>
      <c r="S180" s="49">
        <f t="shared" si="2"/>
        <v>2189.75</v>
      </c>
      <c r="T180" s="85"/>
      <c r="U180" s="48"/>
      <c r="V180" s="48"/>
      <c r="W180" s="48"/>
      <c r="X180" s="48"/>
      <c r="Y180" s="48"/>
      <c r="Z180" s="48"/>
      <c r="AA180" s="48"/>
      <c r="AB180" s="48"/>
      <c r="AC180" s="48"/>
      <c r="AD180" s="48"/>
      <c r="AE180" s="48"/>
      <c r="AF180" s="48"/>
      <c r="AG180" s="48"/>
      <c r="AH180" s="48"/>
      <c r="AI180" s="48"/>
      <c r="AJ180" s="44"/>
      <c r="AK180" s="44"/>
      <c r="AL180" s="44"/>
    </row>
    <row r="181" spans="1:38" ht="27.6" x14ac:dyDescent="0.25">
      <c r="A181" s="94"/>
      <c r="B181" s="265" t="s">
        <v>1072</v>
      </c>
      <c r="C181" s="266" t="s">
        <v>870</v>
      </c>
      <c r="D181" s="265" t="s">
        <v>40</v>
      </c>
      <c r="E181" s="265" t="s">
        <v>871</v>
      </c>
      <c r="F181" s="267" t="s">
        <v>55</v>
      </c>
      <c r="G181" s="277">
        <v>74.099999999999994</v>
      </c>
      <c r="H181" s="268">
        <v>28.29</v>
      </c>
      <c r="I181" s="287">
        <v>2.0299999999999998</v>
      </c>
      <c r="J181" s="268">
        <v>2.58</v>
      </c>
      <c r="K181" s="292">
        <v>26.26</v>
      </c>
      <c r="L181" s="268">
        <v>33.32</v>
      </c>
      <c r="M181" s="268">
        <v>35.9</v>
      </c>
      <c r="N181" s="268">
        <v>191.18</v>
      </c>
      <c r="O181" s="268">
        <v>2469.0100000000002</v>
      </c>
      <c r="P181" s="268">
        <v>2660.19</v>
      </c>
      <c r="Q181" s="269">
        <v>1.1000000000000001E-3</v>
      </c>
      <c r="R181" s="44"/>
      <c r="S181" s="49">
        <f t="shared" si="2"/>
        <v>2096.29</v>
      </c>
      <c r="T181" s="85"/>
      <c r="U181" s="48"/>
      <c r="V181" s="48"/>
      <c r="W181" s="48"/>
      <c r="X181" s="48"/>
      <c r="Y181" s="48"/>
      <c r="Z181" s="48"/>
      <c r="AA181" s="48"/>
      <c r="AB181" s="48"/>
      <c r="AC181" s="48"/>
      <c r="AD181" s="48"/>
      <c r="AE181" s="48"/>
      <c r="AF181" s="48"/>
      <c r="AG181" s="48"/>
      <c r="AH181" s="48"/>
      <c r="AI181" s="48"/>
      <c r="AJ181" s="44"/>
      <c r="AK181" s="44"/>
      <c r="AL181" s="44"/>
    </row>
    <row r="182" spans="1:38" x14ac:dyDescent="0.25">
      <c r="A182" s="94"/>
      <c r="B182" s="265" t="s">
        <v>1112</v>
      </c>
      <c r="C182" s="266" t="s">
        <v>1589</v>
      </c>
      <c r="D182" s="265" t="s">
        <v>51</v>
      </c>
      <c r="E182" s="265" t="s">
        <v>1590</v>
      </c>
      <c r="F182" s="267" t="s">
        <v>44</v>
      </c>
      <c r="G182" s="277">
        <v>12</v>
      </c>
      <c r="H182" s="268">
        <v>184.98</v>
      </c>
      <c r="I182" s="287">
        <v>58</v>
      </c>
      <c r="J182" s="268">
        <v>73.58</v>
      </c>
      <c r="K182" s="292">
        <v>126.98</v>
      </c>
      <c r="L182" s="268">
        <v>161.1</v>
      </c>
      <c r="M182" s="268">
        <v>234.68</v>
      </c>
      <c r="N182" s="268">
        <v>882.96</v>
      </c>
      <c r="O182" s="268">
        <v>1933.2</v>
      </c>
      <c r="P182" s="268">
        <v>2816.16</v>
      </c>
      <c r="Q182" s="269">
        <v>1.1000000000000001E-3</v>
      </c>
      <c r="R182" s="44"/>
      <c r="S182" s="49">
        <f t="shared" si="2"/>
        <v>2219.7600000000002</v>
      </c>
      <c r="T182" s="85"/>
      <c r="U182" s="48"/>
      <c r="V182" s="48"/>
      <c r="W182" s="48"/>
      <c r="X182" s="48"/>
      <c r="Y182" s="48"/>
      <c r="Z182" s="48"/>
      <c r="AA182" s="48"/>
      <c r="AB182" s="48"/>
      <c r="AC182" s="48"/>
      <c r="AD182" s="48"/>
      <c r="AE182" s="48"/>
      <c r="AF182" s="48"/>
      <c r="AG182" s="48"/>
      <c r="AH182" s="48"/>
      <c r="AI182" s="48"/>
      <c r="AJ182" s="44"/>
      <c r="AK182" s="44"/>
      <c r="AL182" s="44"/>
    </row>
    <row r="183" spans="1:38" ht="27.6" customHeight="1" x14ac:dyDescent="0.25">
      <c r="A183" s="94"/>
      <c r="B183" s="265" t="s">
        <v>1591</v>
      </c>
      <c r="C183" s="266" t="s">
        <v>1592</v>
      </c>
      <c r="D183" s="265" t="s">
        <v>40</v>
      </c>
      <c r="E183" s="265" t="s">
        <v>1593</v>
      </c>
      <c r="F183" s="267" t="s">
        <v>55</v>
      </c>
      <c r="G183" s="277">
        <v>45.2</v>
      </c>
      <c r="H183" s="268">
        <v>46.98</v>
      </c>
      <c r="I183" s="287">
        <v>8.93</v>
      </c>
      <c r="J183" s="268">
        <v>11.33</v>
      </c>
      <c r="K183" s="292">
        <v>38.049999999999997</v>
      </c>
      <c r="L183" s="268">
        <v>48.27</v>
      </c>
      <c r="M183" s="268">
        <v>59.6</v>
      </c>
      <c r="N183" s="268">
        <v>512.12</v>
      </c>
      <c r="O183" s="268">
        <v>2181.8000000000002</v>
      </c>
      <c r="P183" s="268">
        <v>2693.92</v>
      </c>
      <c r="Q183" s="269">
        <v>1.1000000000000001E-3</v>
      </c>
      <c r="R183" s="44"/>
      <c r="S183" s="49">
        <f t="shared" si="2"/>
        <v>2123.5</v>
      </c>
      <c r="T183" s="85"/>
      <c r="U183" s="48"/>
      <c r="V183" s="48"/>
      <c r="W183" s="48"/>
      <c r="X183" s="48"/>
      <c r="Y183" s="48"/>
      <c r="Z183" s="48"/>
      <c r="AA183" s="48"/>
      <c r="AB183" s="48"/>
      <c r="AC183" s="48"/>
      <c r="AD183" s="48"/>
      <c r="AE183" s="48"/>
      <c r="AF183" s="48"/>
      <c r="AG183" s="48"/>
      <c r="AH183" s="48"/>
      <c r="AI183" s="48"/>
      <c r="AJ183" s="44"/>
      <c r="AK183" s="44"/>
      <c r="AL183" s="44"/>
    </row>
    <row r="184" spans="1:38" ht="27.6" x14ac:dyDescent="0.25">
      <c r="A184" s="94"/>
      <c r="B184" s="265" t="s">
        <v>123</v>
      </c>
      <c r="C184" s="266" t="s">
        <v>127</v>
      </c>
      <c r="D184" s="265" t="s">
        <v>40</v>
      </c>
      <c r="E184" s="265" t="s">
        <v>128</v>
      </c>
      <c r="F184" s="267" t="s">
        <v>65</v>
      </c>
      <c r="G184" s="277">
        <v>167.4</v>
      </c>
      <c r="H184" s="268">
        <v>12.38</v>
      </c>
      <c r="I184" s="287">
        <v>1.1299999999999999</v>
      </c>
      <c r="J184" s="268">
        <v>1.43</v>
      </c>
      <c r="K184" s="292">
        <v>11.25</v>
      </c>
      <c r="L184" s="268">
        <v>14.27</v>
      </c>
      <c r="M184" s="268">
        <v>15.7</v>
      </c>
      <c r="N184" s="268">
        <v>239.38</v>
      </c>
      <c r="O184" s="268">
        <v>2388.8000000000002</v>
      </c>
      <c r="P184" s="268">
        <v>2628.18</v>
      </c>
      <c r="Q184" s="269">
        <v>1E-3</v>
      </c>
      <c r="R184" s="44"/>
      <c r="S184" s="49">
        <f t="shared" si="2"/>
        <v>2072.41</v>
      </c>
      <c r="T184" s="85"/>
      <c r="U184" s="48"/>
      <c r="V184" s="48"/>
      <c r="W184" s="48"/>
      <c r="X184" s="48"/>
      <c r="Y184" s="48"/>
      <c r="Z184" s="48"/>
      <c r="AA184" s="48"/>
      <c r="AB184" s="48"/>
      <c r="AC184" s="48"/>
      <c r="AD184" s="48"/>
      <c r="AE184" s="48"/>
      <c r="AF184" s="48"/>
      <c r="AG184" s="48"/>
      <c r="AH184" s="48"/>
      <c r="AI184" s="48"/>
      <c r="AJ184" s="44"/>
      <c r="AK184" s="44"/>
      <c r="AL184" s="44"/>
    </row>
    <row r="185" spans="1:38" ht="27.6" x14ac:dyDescent="0.25">
      <c r="A185" s="94"/>
      <c r="B185" s="265" t="s">
        <v>817</v>
      </c>
      <c r="C185" s="266" t="s">
        <v>543</v>
      </c>
      <c r="D185" s="265" t="s">
        <v>146</v>
      </c>
      <c r="E185" s="265" t="s">
        <v>1020</v>
      </c>
      <c r="F185" s="267" t="s">
        <v>41</v>
      </c>
      <c r="G185" s="277">
        <v>3.15</v>
      </c>
      <c r="H185" s="268">
        <v>650.09</v>
      </c>
      <c r="I185" s="287">
        <v>87.92</v>
      </c>
      <c r="J185" s="268">
        <v>111.54</v>
      </c>
      <c r="K185" s="292">
        <v>562.16999999999996</v>
      </c>
      <c r="L185" s="268">
        <v>713.23</v>
      </c>
      <c r="M185" s="268">
        <v>824.77</v>
      </c>
      <c r="N185" s="268">
        <v>351.35</v>
      </c>
      <c r="O185" s="268">
        <v>2246.67</v>
      </c>
      <c r="P185" s="268">
        <v>2598.02</v>
      </c>
      <c r="Q185" s="269">
        <v>1E-3</v>
      </c>
      <c r="R185" s="44"/>
      <c r="S185" s="49">
        <f t="shared" si="2"/>
        <v>2047.78</v>
      </c>
      <c r="T185" s="126"/>
      <c r="U185" s="48"/>
      <c r="V185" s="48"/>
      <c r="W185" s="48"/>
      <c r="X185" s="48"/>
      <c r="Y185" s="48"/>
      <c r="Z185" s="48"/>
      <c r="AA185" s="48"/>
      <c r="AB185" s="48"/>
      <c r="AC185" s="48"/>
      <c r="AD185" s="48"/>
      <c r="AE185" s="48"/>
      <c r="AF185" s="48"/>
      <c r="AG185" s="48"/>
      <c r="AH185" s="48"/>
      <c r="AI185" s="48"/>
      <c r="AJ185" s="44"/>
      <c r="AK185" s="44"/>
      <c r="AL185" s="44"/>
    </row>
    <row r="186" spans="1:38" ht="27.6" x14ac:dyDescent="0.25">
      <c r="A186" s="94"/>
      <c r="B186" s="265" t="s">
        <v>1272</v>
      </c>
      <c r="C186" s="266" t="s">
        <v>397</v>
      </c>
      <c r="D186" s="265" t="s">
        <v>40</v>
      </c>
      <c r="E186" s="265" t="s">
        <v>398</v>
      </c>
      <c r="F186" s="267" t="s">
        <v>55</v>
      </c>
      <c r="G186" s="277">
        <v>102</v>
      </c>
      <c r="H186" s="268">
        <v>20.190000000000001</v>
      </c>
      <c r="I186" s="287">
        <v>12.65</v>
      </c>
      <c r="J186" s="268">
        <v>16.05</v>
      </c>
      <c r="K186" s="292">
        <v>7.54</v>
      </c>
      <c r="L186" s="268">
        <v>9.57</v>
      </c>
      <c r="M186" s="268">
        <v>25.62</v>
      </c>
      <c r="N186" s="268">
        <v>1637.1</v>
      </c>
      <c r="O186" s="268">
        <v>976.14</v>
      </c>
      <c r="P186" s="268">
        <v>2613.2399999999998</v>
      </c>
      <c r="Q186" s="269">
        <v>1E-3</v>
      </c>
      <c r="R186" s="44"/>
      <c r="S186" s="49">
        <f t="shared" si="2"/>
        <v>2059.38</v>
      </c>
      <c r="T186" s="126"/>
      <c r="U186" s="48"/>
      <c r="V186" s="48"/>
      <c r="W186" s="48"/>
      <c r="X186" s="48"/>
      <c r="Y186" s="48"/>
      <c r="Z186" s="48"/>
      <c r="AA186" s="48"/>
      <c r="AB186" s="48"/>
      <c r="AC186" s="48"/>
      <c r="AD186" s="48"/>
      <c r="AE186" s="48"/>
      <c r="AF186" s="48"/>
      <c r="AG186" s="48"/>
      <c r="AH186" s="48"/>
      <c r="AI186" s="48"/>
      <c r="AJ186" s="44"/>
      <c r="AK186" s="44"/>
      <c r="AL186" s="44"/>
    </row>
    <row r="187" spans="1:38" ht="27.6" x14ac:dyDescent="0.25">
      <c r="A187" s="94"/>
      <c r="B187" s="265" t="s">
        <v>1335</v>
      </c>
      <c r="C187" s="266" t="s">
        <v>711</v>
      </c>
      <c r="D187" s="265" t="s">
        <v>40</v>
      </c>
      <c r="E187" s="265" t="s">
        <v>712</v>
      </c>
      <c r="F187" s="267" t="s">
        <v>55</v>
      </c>
      <c r="G187" s="277">
        <v>82</v>
      </c>
      <c r="H187" s="268">
        <v>25.17</v>
      </c>
      <c r="I187" s="287">
        <v>8.17</v>
      </c>
      <c r="J187" s="268">
        <v>10.37</v>
      </c>
      <c r="K187" s="292">
        <v>17</v>
      </c>
      <c r="L187" s="268">
        <v>21.57</v>
      </c>
      <c r="M187" s="268">
        <v>31.94</v>
      </c>
      <c r="N187" s="268">
        <v>850.34</v>
      </c>
      <c r="O187" s="268">
        <v>1768.74</v>
      </c>
      <c r="P187" s="268">
        <v>2619.08</v>
      </c>
      <c r="Q187" s="269">
        <v>1E-3</v>
      </c>
      <c r="R187" s="44"/>
      <c r="S187" s="49">
        <f t="shared" si="2"/>
        <v>2063.94</v>
      </c>
      <c r="T187" s="126"/>
      <c r="U187" s="48"/>
      <c r="V187" s="48"/>
      <c r="W187" s="48"/>
      <c r="X187" s="48"/>
      <c r="Y187" s="48"/>
      <c r="Z187" s="48"/>
      <c r="AA187" s="48"/>
      <c r="AB187" s="48"/>
      <c r="AC187" s="48"/>
      <c r="AD187" s="48"/>
      <c r="AE187" s="48"/>
      <c r="AF187" s="48"/>
      <c r="AG187" s="48"/>
      <c r="AH187" s="48"/>
      <c r="AI187" s="48"/>
      <c r="AJ187" s="44"/>
      <c r="AK187" s="44"/>
      <c r="AL187" s="44"/>
    </row>
    <row r="188" spans="1:38" ht="27.6" customHeight="1" x14ac:dyDescent="0.25">
      <c r="A188" s="94"/>
      <c r="B188" s="265" t="s">
        <v>1339</v>
      </c>
      <c r="C188" s="266" t="s">
        <v>742</v>
      </c>
      <c r="D188" s="265" t="s">
        <v>40</v>
      </c>
      <c r="E188" s="265" t="s">
        <v>1168</v>
      </c>
      <c r="F188" s="267" t="s">
        <v>41</v>
      </c>
      <c r="G188" s="277">
        <v>15.06</v>
      </c>
      <c r="H188" s="268">
        <v>131.53</v>
      </c>
      <c r="I188" s="287">
        <v>29.64</v>
      </c>
      <c r="J188" s="268">
        <v>37.6</v>
      </c>
      <c r="K188" s="292">
        <v>101.89</v>
      </c>
      <c r="L188" s="268">
        <v>129.27000000000001</v>
      </c>
      <c r="M188" s="268">
        <v>166.87</v>
      </c>
      <c r="N188" s="268">
        <v>566.26</v>
      </c>
      <c r="O188" s="268">
        <v>1946.81</v>
      </c>
      <c r="P188" s="268">
        <v>2513.0700000000002</v>
      </c>
      <c r="Q188" s="269">
        <v>1E-3</v>
      </c>
      <c r="R188" s="44"/>
      <c r="S188" s="49">
        <f t="shared" si="2"/>
        <v>1980.84</v>
      </c>
      <c r="T188" s="126"/>
      <c r="U188" s="48"/>
      <c r="V188" s="48"/>
      <c r="W188" s="48"/>
      <c r="X188" s="48"/>
      <c r="Y188" s="48"/>
      <c r="Z188" s="48"/>
      <c r="AA188" s="48"/>
      <c r="AB188" s="48"/>
      <c r="AC188" s="48"/>
      <c r="AD188" s="48"/>
      <c r="AE188" s="48"/>
      <c r="AF188" s="48"/>
      <c r="AG188" s="48"/>
      <c r="AH188" s="48"/>
      <c r="AI188" s="48"/>
      <c r="AJ188" s="44"/>
      <c r="AK188" s="44"/>
      <c r="AL188" s="44"/>
    </row>
    <row r="189" spans="1:38" ht="27.6" x14ac:dyDescent="0.25">
      <c r="A189" s="94"/>
      <c r="B189" s="265" t="s">
        <v>509</v>
      </c>
      <c r="C189" s="266" t="s">
        <v>46</v>
      </c>
      <c r="D189" s="265" t="s">
        <v>40</v>
      </c>
      <c r="E189" s="265" t="s">
        <v>47</v>
      </c>
      <c r="F189" s="267" t="s">
        <v>44</v>
      </c>
      <c r="G189" s="277">
        <v>1</v>
      </c>
      <c r="H189" s="268">
        <v>1851.56</v>
      </c>
      <c r="I189" s="287">
        <v>326.19</v>
      </c>
      <c r="J189" s="268">
        <v>413.84</v>
      </c>
      <c r="K189" s="292">
        <v>1525.37</v>
      </c>
      <c r="L189" s="268">
        <v>1935.24</v>
      </c>
      <c r="M189" s="268">
        <v>2349.08</v>
      </c>
      <c r="N189" s="268">
        <v>413.84</v>
      </c>
      <c r="O189" s="268">
        <v>1935.24</v>
      </c>
      <c r="P189" s="268">
        <v>2349.08</v>
      </c>
      <c r="Q189" s="269">
        <v>8.9999999999999998E-4</v>
      </c>
      <c r="R189" s="44"/>
      <c r="S189" s="49">
        <f t="shared" si="2"/>
        <v>1851.56</v>
      </c>
      <c r="T189" s="126"/>
      <c r="U189" s="48"/>
      <c r="V189" s="48"/>
      <c r="W189" s="48"/>
      <c r="X189" s="48"/>
      <c r="Y189" s="48"/>
      <c r="Z189" s="48"/>
      <c r="AA189" s="48"/>
      <c r="AB189" s="48"/>
      <c r="AC189" s="48"/>
      <c r="AD189" s="48"/>
      <c r="AE189" s="48"/>
      <c r="AF189" s="48"/>
      <c r="AG189" s="48"/>
      <c r="AH189" s="48"/>
      <c r="AI189" s="48"/>
      <c r="AJ189" s="44"/>
      <c r="AK189" s="44"/>
      <c r="AL189" s="44"/>
    </row>
    <row r="190" spans="1:38" x14ac:dyDescent="0.25">
      <c r="A190" s="94"/>
      <c r="B190" s="265" t="s">
        <v>1454</v>
      </c>
      <c r="C190" s="266" t="s">
        <v>1455</v>
      </c>
      <c r="D190" s="265" t="s">
        <v>146</v>
      </c>
      <c r="E190" s="265" t="s">
        <v>1456</v>
      </c>
      <c r="F190" s="267" t="s">
        <v>41</v>
      </c>
      <c r="G190" s="277">
        <v>13.96</v>
      </c>
      <c r="H190" s="268">
        <v>130</v>
      </c>
      <c r="I190" s="287">
        <v>0</v>
      </c>
      <c r="J190" s="268">
        <v>0</v>
      </c>
      <c r="K190" s="292">
        <v>130</v>
      </c>
      <c r="L190" s="268">
        <v>164.93</v>
      </c>
      <c r="M190" s="268">
        <v>164.93</v>
      </c>
      <c r="N190" s="268">
        <v>0</v>
      </c>
      <c r="O190" s="268">
        <v>2302.42</v>
      </c>
      <c r="P190" s="268">
        <v>2302.42</v>
      </c>
      <c r="Q190" s="269">
        <v>8.9999999999999998E-4</v>
      </c>
      <c r="R190" s="44"/>
      <c r="S190" s="49">
        <f t="shared" si="2"/>
        <v>1814.8</v>
      </c>
      <c r="T190" s="126"/>
      <c r="U190" s="48"/>
      <c r="V190" s="48"/>
      <c r="W190" s="48"/>
      <c r="X190" s="48"/>
      <c r="Y190" s="48"/>
      <c r="Z190" s="48"/>
      <c r="AA190" s="48"/>
      <c r="AB190" s="48"/>
      <c r="AC190" s="48"/>
      <c r="AD190" s="48"/>
      <c r="AE190" s="48"/>
      <c r="AF190" s="48"/>
      <c r="AG190" s="48"/>
      <c r="AH190" s="48"/>
      <c r="AI190" s="48"/>
      <c r="AJ190" s="44"/>
      <c r="AK190" s="44"/>
      <c r="AL190" s="44"/>
    </row>
    <row r="191" spans="1:38" ht="27.6" x14ac:dyDescent="0.25">
      <c r="A191" s="94"/>
      <c r="B191" s="265" t="s">
        <v>559</v>
      </c>
      <c r="C191" s="266" t="s">
        <v>1186</v>
      </c>
      <c r="D191" s="265" t="s">
        <v>40</v>
      </c>
      <c r="E191" s="265" t="s">
        <v>1187</v>
      </c>
      <c r="F191" s="267" t="s">
        <v>41</v>
      </c>
      <c r="G191" s="277">
        <v>84.9</v>
      </c>
      <c r="H191" s="268">
        <v>21.72</v>
      </c>
      <c r="I191" s="287">
        <v>8.6300000000000008</v>
      </c>
      <c r="J191" s="268">
        <v>10.95</v>
      </c>
      <c r="K191" s="292">
        <v>13.09</v>
      </c>
      <c r="L191" s="268">
        <v>16.61</v>
      </c>
      <c r="M191" s="268">
        <v>27.56</v>
      </c>
      <c r="N191" s="268">
        <v>929.66</v>
      </c>
      <c r="O191" s="268">
        <v>1410.19</v>
      </c>
      <c r="P191" s="268">
        <v>2339.85</v>
      </c>
      <c r="Q191" s="269">
        <v>8.9999999999999998E-4</v>
      </c>
      <c r="R191" s="44"/>
      <c r="S191" s="49">
        <f t="shared" si="2"/>
        <v>1844.03</v>
      </c>
      <c r="T191" s="126"/>
      <c r="U191" s="48"/>
      <c r="V191" s="48"/>
      <c r="W191" s="48"/>
      <c r="X191" s="48"/>
      <c r="Y191" s="48"/>
      <c r="Z191" s="48"/>
      <c r="AA191" s="48"/>
      <c r="AB191" s="48"/>
      <c r="AC191" s="48"/>
      <c r="AD191" s="48"/>
      <c r="AE191" s="48"/>
      <c r="AF191" s="48"/>
      <c r="AG191" s="48"/>
      <c r="AH191" s="48"/>
      <c r="AI191" s="48"/>
      <c r="AJ191" s="44"/>
      <c r="AK191" s="44"/>
      <c r="AL191" s="44"/>
    </row>
    <row r="192" spans="1:38" ht="27.6" x14ac:dyDescent="0.25">
      <c r="A192" s="94"/>
      <c r="B192" s="265" t="s">
        <v>1054</v>
      </c>
      <c r="C192" s="266" t="s">
        <v>268</v>
      </c>
      <c r="D192" s="265" t="s">
        <v>40</v>
      </c>
      <c r="E192" s="265" t="s">
        <v>269</v>
      </c>
      <c r="F192" s="267" t="s">
        <v>44</v>
      </c>
      <c r="G192" s="277">
        <v>5</v>
      </c>
      <c r="H192" s="268">
        <v>354.35</v>
      </c>
      <c r="I192" s="287">
        <v>21.64</v>
      </c>
      <c r="J192" s="268">
        <v>27.45</v>
      </c>
      <c r="K192" s="292">
        <v>332.71</v>
      </c>
      <c r="L192" s="268">
        <v>422.11</v>
      </c>
      <c r="M192" s="268">
        <v>449.56</v>
      </c>
      <c r="N192" s="268">
        <v>137.25</v>
      </c>
      <c r="O192" s="268">
        <v>2110.5500000000002</v>
      </c>
      <c r="P192" s="268">
        <v>2247.8000000000002</v>
      </c>
      <c r="Q192" s="269">
        <v>8.9999999999999998E-4</v>
      </c>
      <c r="R192" s="44"/>
      <c r="S192" s="49">
        <f t="shared" si="2"/>
        <v>1771.75</v>
      </c>
      <c r="T192" s="126"/>
      <c r="U192" s="48"/>
      <c r="V192" s="48"/>
      <c r="W192" s="48"/>
      <c r="X192" s="48"/>
      <c r="Y192" s="48"/>
      <c r="Z192" s="48"/>
      <c r="AA192" s="48"/>
      <c r="AB192" s="48"/>
      <c r="AC192" s="48"/>
      <c r="AD192" s="48"/>
      <c r="AE192" s="48"/>
      <c r="AF192" s="48"/>
      <c r="AG192" s="48"/>
      <c r="AH192" s="48"/>
      <c r="AI192" s="48"/>
      <c r="AJ192" s="44"/>
      <c r="AK192" s="44"/>
      <c r="AL192" s="44"/>
    </row>
    <row r="193" spans="1:38" x14ac:dyDescent="0.25">
      <c r="A193" s="94"/>
      <c r="B193" s="265" t="s">
        <v>1057</v>
      </c>
      <c r="C193" s="266" t="s">
        <v>580</v>
      </c>
      <c r="D193" s="265" t="s">
        <v>100</v>
      </c>
      <c r="E193" s="265" t="s">
        <v>581</v>
      </c>
      <c r="F193" s="267" t="s">
        <v>44</v>
      </c>
      <c r="G193" s="277">
        <v>21</v>
      </c>
      <c r="H193" s="268">
        <v>88.2</v>
      </c>
      <c r="I193" s="287">
        <v>36.1</v>
      </c>
      <c r="J193" s="268">
        <v>45.8</v>
      </c>
      <c r="K193" s="292">
        <v>52.1</v>
      </c>
      <c r="L193" s="268">
        <v>66.099999999999994</v>
      </c>
      <c r="M193" s="268">
        <v>111.9</v>
      </c>
      <c r="N193" s="268">
        <v>961.8</v>
      </c>
      <c r="O193" s="268">
        <v>1388.1</v>
      </c>
      <c r="P193" s="268">
        <v>2349.9</v>
      </c>
      <c r="Q193" s="269">
        <v>8.9999999999999998E-4</v>
      </c>
      <c r="R193" s="44"/>
      <c r="S193" s="49">
        <f t="shared" si="2"/>
        <v>1852.2</v>
      </c>
      <c r="T193" s="126"/>
      <c r="U193" s="48"/>
      <c r="V193" s="48"/>
      <c r="W193" s="48"/>
      <c r="X193" s="48"/>
      <c r="Y193" s="48"/>
      <c r="Z193" s="48"/>
      <c r="AA193" s="48"/>
      <c r="AB193" s="48"/>
      <c r="AC193" s="48"/>
      <c r="AD193" s="48"/>
      <c r="AE193" s="48"/>
      <c r="AF193" s="48"/>
      <c r="AG193" s="48"/>
      <c r="AH193" s="48"/>
      <c r="AI193" s="48"/>
      <c r="AJ193" s="44"/>
      <c r="AK193" s="44"/>
      <c r="AL193" s="44"/>
    </row>
    <row r="194" spans="1:38" x14ac:dyDescent="0.25">
      <c r="A194" s="94"/>
      <c r="B194" s="265" t="s">
        <v>1303</v>
      </c>
      <c r="C194" s="266" t="s">
        <v>859</v>
      </c>
      <c r="D194" s="265" t="s">
        <v>146</v>
      </c>
      <c r="E194" s="265" t="s">
        <v>860</v>
      </c>
      <c r="F194" s="267" t="s">
        <v>168</v>
      </c>
      <c r="G194" s="277">
        <v>5</v>
      </c>
      <c r="H194" s="268">
        <v>353.44</v>
      </c>
      <c r="I194" s="287">
        <v>40.479999999999997</v>
      </c>
      <c r="J194" s="268">
        <v>51.36</v>
      </c>
      <c r="K194" s="292">
        <v>312.95999999999998</v>
      </c>
      <c r="L194" s="268">
        <v>397.05</v>
      </c>
      <c r="M194" s="268">
        <v>448.41</v>
      </c>
      <c r="N194" s="268">
        <v>256.8</v>
      </c>
      <c r="O194" s="268">
        <v>1985.25</v>
      </c>
      <c r="P194" s="268">
        <v>2242.0500000000002</v>
      </c>
      <c r="Q194" s="269">
        <v>8.9999999999999998E-4</v>
      </c>
      <c r="R194" s="44"/>
      <c r="S194" s="49">
        <f t="shared" si="2"/>
        <v>1767.2</v>
      </c>
      <c r="T194" s="126"/>
      <c r="U194" s="48"/>
      <c r="V194" s="48"/>
      <c r="W194" s="48"/>
      <c r="X194" s="48"/>
      <c r="Y194" s="48"/>
      <c r="Z194" s="48"/>
      <c r="AA194" s="48"/>
      <c r="AB194" s="48"/>
      <c r="AC194" s="48"/>
      <c r="AD194" s="48"/>
      <c r="AE194" s="48"/>
      <c r="AF194" s="48"/>
      <c r="AG194" s="48"/>
      <c r="AH194" s="48"/>
      <c r="AI194" s="48"/>
      <c r="AJ194" s="44"/>
      <c r="AK194" s="44"/>
      <c r="AL194" s="44"/>
    </row>
    <row r="195" spans="1:38" x14ac:dyDescent="0.25">
      <c r="A195" s="94"/>
      <c r="B195" s="265" t="s">
        <v>1090</v>
      </c>
      <c r="C195" s="266" t="s">
        <v>694</v>
      </c>
      <c r="D195" s="265" t="s">
        <v>51</v>
      </c>
      <c r="E195" s="265" t="s">
        <v>695</v>
      </c>
      <c r="F195" s="267" t="s">
        <v>44</v>
      </c>
      <c r="G195" s="277">
        <v>227</v>
      </c>
      <c r="H195" s="268">
        <v>8.18</v>
      </c>
      <c r="I195" s="287">
        <v>1.47</v>
      </c>
      <c r="J195" s="268">
        <v>1.86</v>
      </c>
      <c r="K195" s="292">
        <v>6.71</v>
      </c>
      <c r="L195" s="268">
        <v>8.51</v>
      </c>
      <c r="M195" s="268">
        <v>10.37</v>
      </c>
      <c r="N195" s="268">
        <v>422.22</v>
      </c>
      <c r="O195" s="268">
        <v>1931.77</v>
      </c>
      <c r="P195" s="268">
        <v>2353.9899999999998</v>
      </c>
      <c r="Q195" s="269">
        <v>8.9999999999999998E-4</v>
      </c>
      <c r="R195" s="44"/>
      <c r="S195" s="49">
        <f t="shared" si="2"/>
        <v>1856.86</v>
      </c>
      <c r="T195" s="85"/>
      <c r="U195" s="48"/>
      <c r="V195" s="48"/>
      <c r="W195" s="48"/>
      <c r="X195" s="48"/>
      <c r="Y195" s="48"/>
      <c r="Z195" s="48"/>
      <c r="AA195" s="48"/>
      <c r="AB195" s="48"/>
      <c r="AC195" s="48"/>
      <c r="AD195" s="48"/>
      <c r="AE195" s="48"/>
      <c r="AF195" s="48"/>
      <c r="AG195" s="48"/>
      <c r="AH195" s="48"/>
      <c r="AI195" s="48"/>
      <c r="AJ195" s="44"/>
      <c r="AK195" s="44"/>
      <c r="AL195" s="44"/>
    </row>
    <row r="196" spans="1:38" x14ac:dyDescent="0.25">
      <c r="A196" s="94"/>
      <c r="B196" s="265" t="s">
        <v>1091</v>
      </c>
      <c r="C196" s="266" t="s">
        <v>694</v>
      </c>
      <c r="D196" s="265" t="s">
        <v>51</v>
      </c>
      <c r="E196" s="265" t="s">
        <v>695</v>
      </c>
      <c r="F196" s="267" t="s">
        <v>44</v>
      </c>
      <c r="G196" s="277">
        <v>227</v>
      </c>
      <c r="H196" s="268">
        <v>8.18</v>
      </c>
      <c r="I196" s="287">
        <v>1.47</v>
      </c>
      <c r="J196" s="268">
        <v>1.86</v>
      </c>
      <c r="K196" s="292">
        <v>6.71</v>
      </c>
      <c r="L196" s="268">
        <v>8.51</v>
      </c>
      <c r="M196" s="268">
        <v>10.37</v>
      </c>
      <c r="N196" s="268">
        <v>422.22</v>
      </c>
      <c r="O196" s="268">
        <v>1931.77</v>
      </c>
      <c r="P196" s="268">
        <v>2353.9899999999998</v>
      </c>
      <c r="Q196" s="269">
        <v>8.9999999999999998E-4</v>
      </c>
      <c r="R196" s="44"/>
      <c r="S196" s="49">
        <f t="shared" si="2"/>
        <v>1856.86</v>
      </c>
      <c r="T196" s="85"/>
      <c r="U196" s="48"/>
      <c r="V196" s="48"/>
      <c r="W196" s="48"/>
      <c r="X196" s="48"/>
      <c r="Y196" s="48"/>
      <c r="Z196" s="48"/>
      <c r="AA196" s="48"/>
      <c r="AB196" s="48"/>
      <c r="AC196" s="48"/>
      <c r="AD196" s="48"/>
      <c r="AE196" s="48"/>
      <c r="AF196" s="48"/>
      <c r="AG196" s="48"/>
      <c r="AH196" s="48"/>
      <c r="AI196" s="48"/>
      <c r="AJ196" s="44"/>
      <c r="AK196" s="44"/>
      <c r="AL196" s="44"/>
    </row>
    <row r="197" spans="1:38" ht="27.6" x14ac:dyDescent="0.25">
      <c r="A197" s="94"/>
      <c r="B197" s="265" t="s">
        <v>90</v>
      </c>
      <c r="C197" s="266">
        <v>92763</v>
      </c>
      <c r="D197" s="265" t="s">
        <v>40</v>
      </c>
      <c r="E197" s="265" t="s">
        <v>92</v>
      </c>
      <c r="F197" s="267" t="s">
        <v>65</v>
      </c>
      <c r="G197" s="277">
        <v>165.1</v>
      </c>
      <c r="H197" s="268">
        <v>9.7200000000000006</v>
      </c>
      <c r="I197" s="287">
        <v>0.61</v>
      </c>
      <c r="J197" s="268">
        <v>0.77</v>
      </c>
      <c r="K197" s="292">
        <v>9.11</v>
      </c>
      <c r="L197" s="268">
        <v>11.56</v>
      </c>
      <c r="M197" s="268">
        <v>12.33</v>
      </c>
      <c r="N197" s="268">
        <v>127.13</v>
      </c>
      <c r="O197" s="268">
        <v>1908.56</v>
      </c>
      <c r="P197" s="268">
        <v>2035.69</v>
      </c>
      <c r="Q197" s="269">
        <v>8.0000000000000004E-4</v>
      </c>
      <c r="R197" s="44"/>
      <c r="S197" s="49">
        <f t="shared" si="2"/>
        <v>1604.77</v>
      </c>
      <c r="T197" s="85"/>
      <c r="U197" s="48"/>
      <c r="V197" s="48"/>
      <c r="W197" s="48"/>
      <c r="X197" s="48"/>
      <c r="Y197" s="48"/>
      <c r="Z197" s="48"/>
      <c r="AA197" s="48"/>
      <c r="AB197" s="48"/>
      <c r="AC197" s="48"/>
      <c r="AD197" s="48"/>
      <c r="AE197" s="48"/>
      <c r="AF197" s="48"/>
      <c r="AG197" s="48"/>
      <c r="AH197" s="48"/>
      <c r="AI197" s="48"/>
      <c r="AJ197" s="44"/>
      <c r="AK197" s="44"/>
      <c r="AL197" s="44"/>
    </row>
    <row r="198" spans="1:38" ht="27.6" x14ac:dyDescent="0.25">
      <c r="A198" s="94"/>
      <c r="B198" s="265" t="s">
        <v>93</v>
      </c>
      <c r="C198" s="266" t="s">
        <v>94</v>
      </c>
      <c r="D198" s="265" t="s">
        <v>40</v>
      </c>
      <c r="E198" s="265" t="s">
        <v>95</v>
      </c>
      <c r="F198" s="267" t="s">
        <v>65</v>
      </c>
      <c r="G198" s="277">
        <v>176</v>
      </c>
      <c r="H198" s="268">
        <v>9.4499999999999993</v>
      </c>
      <c r="I198" s="287">
        <v>0.43</v>
      </c>
      <c r="J198" s="268">
        <v>0.55000000000000004</v>
      </c>
      <c r="K198" s="292">
        <v>9.02</v>
      </c>
      <c r="L198" s="268">
        <v>11.44</v>
      </c>
      <c r="M198" s="268">
        <v>11.99</v>
      </c>
      <c r="N198" s="268">
        <v>96.8</v>
      </c>
      <c r="O198" s="268">
        <v>2013.44</v>
      </c>
      <c r="P198" s="268">
        <v>2110.2399999999998</v>
      </c>
      <c r="Q198" s="269">
        <v>8.0000000000000004E-4</v>
      </c>
      <c r="R198" s="44"/>
      <c r="S198" s="49">
        <f t="shared" si="2"/>
        <v>1663.2</v>
      </c>
      <c r="T198" s="126"/>
      <c r="U198" s="48"/>
      <c r="V198" s="48"/>
      <c r="W198" s="48"/>
      <c r="X198" s="48"/>
      <c r="Y198" s="48"/>
      <c r="Z198" s="48"/>
      <c r="AA198" s="48"/>
      <c r="AB198" s="48"/>
      <c r="AC198" s="48"/>
      <c r="AD198" s="48"/>
      <c r="AE198" s="48"/>
      <c r="AF198" s="48"/>
      <c r="AG198" s="48"/>
      <c r="AH198" s="48"/>
      <c r="AI198" s="48"/>
      <c r="AJ198" s="44"/>
      <c r="AK198" s="44"/>
      <c r="AL198" s="44"/>
    </row>
    <row r="199" spans="1:38" x14ac:dyDescent="0.25">
      <c r="A199" s="94"/>
      <c r="B199" s="265" t="s">
        <v>101</v>
      </c>
      <c r="C199" s="266" t="s">
        <v>81</v>
      </c>
      <c r="D199" s="265" t="s">
        <v>51</v>
      </c>
      <c r="E199" s="265" t="s">
        <v>82</v>
      </c>
      <c r="F199" s="267" t="s">
        <v>59</v>
      </c>
      <c r="G199" s="277">
        <v>17.399999999999999</v>
      </c>
      <c r="H199" s="268">
        <v>92.53</v>
      </c>
      <c r="I199" s="287">
        <v>2.4500000000000002</v>
      </c>
      <c r="J199" s="268">
        <v>3.11</v>
      </c>
      <c r="K199" s="292">
        <v>90.08</v>
      </c>
      <c r="L199" s="268">
        <v>114.28</v>
      </c>
      <c r="M199" s="268">
        <v>117.39</v>
      </c>
      <c r="N199" s="268">
        <v>54.11</v>
      </c>
      <c r="O199" s="268">
        <v>1988.47</v>
      </c>
      <c r="P199" s="268">
        <v>2042.58</v>
      </c>
      <c r="Q199" s="269">
        <v>8.0000000000000004E-4</v>
      </c>
      <c r="R199" s="44"/>
      <c r="S199" s="49">
        <f t="shared" si="2"/>
        <v>1610.02</v>
      </c>
      <c r="T199" s="126"/>
      <c r="U199" s="48"/>
      <c r="V199" s="48"/>
      <c r="W199" s="48"/>
      <c r="X199" s="48"/>
      <c r="Y199" s="48"/>
      <c r="Z199" s="48"/>
      <c r="AA199" s="48"/>
      <c r="AB199" s="48"/>
      <c r="AC199" s="48"/>
      <c r="AD199" s="48"/>
      <c r="AE199" s="48"/>
      <c r="AF199" s="48"/>
      <c r="AG199" s="48"/>
      <c r="AH199" s="48"/>
      <c r="AI199" s="48"/>
      <c r="AJ199" s="44"/>
      <c r="AK199" s="44"/>
      <c r="AL199" s="44"/>
    </row>
    <row r="200" spans="1:38" ht="27.6" x14ac:dyDescent="0.25">
      <c r="A200" s="94"/>
      <c r="B200" s="265" t="s">
        <v>1349</v>
      </c>
      <c r="C200" s="266" t="s">
        <v>1350</v>
      </c>
      <c r="D200" s="265" t="s">
        <v>40</v>
      </c>
      <c r="E200" s="265" t="s">
        <v>1351</v>
      </c>
      <c r="F200" s="267" t="s">
        <v>41</v>
      </c>
      <c r="G200" s="277">
        <v>6.25</v>
      </c>
      <c r="H200" s="268">
        <v>241.97</v>
      </c>
      <c r="I200" s="287">
        <v>21.74</v>
      </c>
      <c r="J200" s="268">
        <v>27.58</v>
      </c>
      <c r="K200" s="292">
        <v>220.23</v>
      </c>
      <c r="L200" s="268">
        <v>279.41000000000003</v>
      </c>
      <c r="M200" s="268">
        <v>306.99</v>
      </c>
      <c r="N200" s="268">
        <v>172.38</v>
      </c>
      <c r="O200" s="268">
        <v>1746.31</v>
      </c>
      <c r="P200" s="268">
        <v>1918.69</v>
      </c>
      <c r="Q200" s="269">
        <v>8.0000000000000004E-4</v>
      </c>
      <c r="R200" s="44"/>
      <c r="S200" s="49">
        <f t="shared" si="2"/>
        <v>1512.31</v>
      </c>
      <c r="T200" s="126"/>
      <c r="U200" s="48"/>
      <c r="V200" s="48"/>
      <c r="W200" s="48"/>
      <c r="X200" s="48"/>
      <c r="Y200" s="48"/>
      <c r="Z200" s="48"/>
      <c r="AA200" s="48"/>
      <c r="AB200" s="48"/>
      <c r="AC200" s="48"/>
      <c r="AD200" s="48"/>
      <c r="AE200" s="48"/>
      <c r="AF200" s="48"/>
      <c r="AG200" s="48"/>
      <c r="AH200" s="48"/>
      <c r="AI200" s="48"/>
      <c r="AJ200" s="44"/>
      <c r="AK200" s="44"/>
      <c r="AL200" s="44"/>
    </row>
    <row r="201" spans="1:38" x14ac:dyDescent="0.25">
      <c r="A201" s="94"/>
      <c r="B201" s="265" t="s">
        <v>805</v>
      </c>
      <c r="C201" s="266" t="s">
        <v>791</v>
      </c>
      <c r="D201" s="265" t="s">
        <v>51</v>
      </c>
      <c r="E201" s="265" t="s">
        <v>792</v>
      </c>
      <c r="F201" s="267" t="s">
        <v>44</v>
      </c>
      <c r="G201" s="277">
        <v>1</v>
      </c>
      <c r="H201" s="268">
        <v>1509.23</v>
      </c>
      <c r="I201" s="287">
        <v>101.49</v>
      </c>
      <c r="J201" s="268">
        <v>128.76</v>
      </c>
      <c r="K201" s="292">
        <v>1407.74</v>
      </c>
      <c r="L201" s="268">
        <v>1786</v>
      </c>
      <c r="M201" s="268">
        <v>1914.76</v>
      </c>
      <c r="N201" s="268">
        <v>128.76</v>
      </c>
      <c r="O201" s="268">
        <v>1786</v>
      </c>
      <c r="P201" s="268">
        <v>1914.76</v>
      </c>
      <c r="Q201" s="269">
        <v>8.0000000000000004E-4</v>
      </c>
      <c r="R201" s="44"/>
      <c r="S201" s="49">
        <f t="shared" si="2"/>
        <v>1509.23</v>
      </c>
      <c r="T201" s="126"/>
      <c r="U201" s="48"/>
      <c r="V201" s="48"/>
      <c r="W201" s="48"/>
      <c r="X201" s="48"/>
      <c r="Y201" s="48"/>
      <c r="Z201" s="48"/>
      <c r="AA201" s="48"/>
      <c r="AB201" s="48"/>
      <c r="AC201" s="48"/>
      <c r="AD201" s="48"/>
      <c r="AE201" s="48"/>
      <c r="AF201" s="48"/>
      <c r="AG201" s="48"/>
      <c r="AH201" s="48"/>
      <c r="AI201" s="48"/>
      <c r="AJ201" s="44"/>
      <c r="AK201" s="44"/>
      <c r="AL201" s="44"/>
    </row>
    <row r="202" spans="1:38" ht="27.6" x14ac:dyDescent="0.25">
      <c r="A202" s="94"/>
      <c r="B202" s="265" t="s">
        <v>1043</v>
      </c>
      <c r="C202" s="266" t="s">
        <v>1044</v>
      </c>
      <c r="D202" s="265" t="s">
        <v>40</v>
      </c>
      <c r="E202" s="265" t="s">
        <v>1045</v>
      </c>
      <c r="F202" s="267" t="s">
        <v>44</v>
      </c>
      <c r="G202" s="277">
        <v>8</v>
      </c>
      <c r="H202" s="268">
        <v>206.34</v>
      </c>
      <c r="I202" s="287">
        <v>10.85</v>
      </c>
      <c r="J202" s="268">
        <v>13.77</v>
      </c>
      <c r="K202" s="292">
        <v>195.49</v>
      </c>
      <c r="L202" s="268">
        <v>248.02</v>
      </c>
      <c r="M202" s="268">
        <v>261.79000000000002</v>
      </c>
      <c r="N202" s="268">
        <v>110.16</v>
      </c>
      <c r="O202" s="268">
        <v>1984.16</v>
      </c>
      <c r="P202" s="268">
        <v>2094.3200000000002</v>
      </c>
      <c r="Q202" s="269">
        <v>8.0000000000000004E-4</v>
      </c>
      <c r="R202" s="44"/>
      <c r="S202" s="49">
        <f t="shared" si="2"/>
        <v>1650.72</v>
      </c>
      <c r="T202" s="85"/>
      <c r="U202" s="48"/>
      <c r="V202" s="48"/>
      <c r="W202" s="48"/>
      <c r="X202" s="48"/>
      <c r="Y202" s="48"/>
      <c r="Z202" s="48"/>
      <c r="AA202" s="48"/>
      <c r="AB202" s="48"/>
      <c r="AC202" s="48"/>
      <c r="AD202" s="48"/>
      <c r="AE202" s="48"/>
      <c r="AF202" s="48"/>
      <c r="AG202" s="48"/>
      <c r="AH202" s="48"/>
      <c r="AI202" s="48"/>
      <c r="AJ202" s="44"/>
      <c r="AK202" s="44"/>
      <c r="AL202" s="44"/>
    </row>
    <row r="203" spans="1:38" x14ac:dyDescent="0.25">
      <c r="A203" s="94"/>
      <c r="B203" s="265" t="s">
        <v>1282</v>
      </c>
      <c r="C203" s="266" t="s">
        <v>854</v>
      </c>
      <c r="D203" s="265" t="s">
        <v>199</v>
      </c>
      <c r="E203" s="265" t="s">
        <v>855</v>
      </c>
      <c r="F203" s="267" t="s">
        <v>240</v>
      </c>
      <c r="G203" s="277">
        <v>25</v>
      </c>
      <c r="H203" s="268">
        <v>62.91</v>
      </c>
      <c r="I203" s="287">
        <v>16.059999999999999</v>
      </c>
      <c r="J203" s="268">
        <v>20.38</v>
      </c>
      <c r="K203" s="292">
        <v>46.85</v>
      </c>
      <c r="L203" s="268">
        <v>59.44</v>
      </c>
      <c r="M203" s="268">
        <v>79.819999999999993</v>
      </c>
      <c r="N203" s="268">
        <v>509.5</v>
      </c>
      <c r="O203" s="268">
        <v>1486</v>
      </c>
      <c r="P203" s="268">
        <v>1995.5</v>
      </c>
      <c r="Q203" s="269">
        <v>8.0000000000000004E-4</v>
      </c>
      <c r="R203" s="44"/>
      <c r="S203" s="49">
        <f t="shared" si="2"/>
        <v>1572.75</v>
      </c>
      <c r="T203" s="85"/>
      <c r="U203" s="48"/>
      <c r="V203" s="48"/>
      <c r="W203" s="48"/>
      <c r="X203" s="48"/>
      <c r="Y203" s="48"/>
      <c r="Z203" s="48"/>
      <c r="AA203" s="48"/>
      <c r="AB203" s="48"/>
      <c r="AC203" s="48"/>
      <c r="AD203" s="48"/>
      <c r="AE203" s="48"/>
      <c r="AF203" s="48"/>
      <c r="AG203" s="48"/>
      <c r="AH203" s="48"/>
      <c r="AI203" s="48"/>
      <c r="AJ203" s="44"/>
      <c r="AK203" s="44"/>
      <c r="AL203" s="44"/>
    </row>
    <row r="204" spans="1:38" ht="27.6" x14ac:dyDescent="0.25">
      <c r="A204" s="94"/>
      <c r="B204" s="265" t="s">
        <v>1284</v>
      </c>
      <c r="C204" s="266" t="s">
        <v>665</v>
      </c>
      <c r="D204" s="265" t="s">
        <v>40</v>
      </c>
      <c r="E204" s="265" t="s">
        <v>666</v>
      </c>
      <c r="F204" s="267" t="s">
        <v>55</v>
      </c>
      <c r="G204" s="277">
        <v>11.5</v>
      </c>
      <c r="H204" s="268">
        <v>132.78</v>
      </c>
      <c r="I204" s="287">
        <v>2.75</v>
      </c>
      <c r="J204" s="268">
        <v>3.49</v>
      </c>
      <c r="K204" s="292">
        <v>130.03</v>
      </c>
      <c r="L204" s="268">
        <v>164.97</v>
      </c>
      <c r="M204" s="268">
        <v>168.46</v>
      </c>
      <c r="N204" s="268">
        <v>40.14</v>
      </c>
      <c r="O204" s="268">
        <v>1897.16</v>
      </c>
      <c r="P204" s="268">
        <v>1937.3</v>
      </c>
      <c r="Q204" s="269">
        <v>8.0000000000000004E-4</v>
      </c>
      <c r="R204" s="44"/>
      <c r="S204" s="49">
        <f t="shared" si="2"/>
        <v>1526.97</v>
      </c>
      <c r="T204" s="126"/>
      <c r="U204" s="48"/>
      <c r="V204" s="48"/>
      <c r="W204" s="48"/>
      <c r="X204" s="48"/>
      <c r="Y204" s="48"/>
      <c r="Z204" s="48"/>
      <c r="AA204" s="48"/>
      <c r="AB204" s="48"/>
      <c r="AC204" s="48"/>
      <c r="AD204" s="48"/>
      <c r="AE204" s="48"/>
      <c r="AF204" s="48"/>
      <c r="AG204" s="48"/>
      <c r="AH204" s="48"/>
      <c r="AI204" s="48"/>
      <c r="AJ204" s="44"/>
      <c r="AK204" s="44"/>
      <c r="AL204" s="44"/>
    </row>
    <row r="205" spans="1:38" x14ac:dyDescent="0.25">
      <c r="A205" s="94"/>
      <c r="B205" s="265" t="s">
        <v>1060</v>
      </c>
      <c r="C205" s="266">
        <v>91937</v>
      </c>
      <c r="D205" s="265" t="s">
        <v>40</v>
      </c>
      <c r="E205" s="265" t="s">
        <v>207</v>
      </c>
      <c r="F205" s="267" t="s">
        <v>44</v>
      </c>
      <c r="G205" s="277">
        <v>99</v>
      </c>
      <c r="H205" s="268">
        <v>15.99</v>
      </c>
      <c r="I205" s="287">
        <v>7.54</v>
      </c>
      <c r="J205" s="268">
        <v>9.57</v>
      </c>
      <c r="K205" s="292">
        <v>8.4499999999999993</v>
      </c>
      <c r="L205" s="268">
        <v>10.72</v>
      </c>
      <c r="M205" s="268">
        <v>20.29</v>
      </c>
      <c r="N205" s="268">
        <v>947.43</v>
      </c>
      <c r="O205" s="268">
        <v>1061.28</v>
      </c>
      <c r="P205" s="268">
        <v>2008.71</v>
      </c>
      <c r="Q205" s="269">
        <v>8.0000000000000004E-4</v>
      </c>
      <c r="R205" s="44"/>
      <c r="S205" s="49">
        <f t="shared" si="2"/>
        <v>1583.01</v>
      </c>
      <c r="T205" s="126"/>
      <c r="U205" s="48"/>
      <c r="V205" s="48"/>
      <c r="W205" s="48"/>
      <c r="X205" s="48"/>
      <c r="Y205" s="48"/>
      <c r="Z205" s="48"/>
      <c r="AA205" s="48"/>
      <c r="AB205" s="48"/>
      <c r="AC205" s="48"/>
      <c r="AD205" s="48"/>
      <c r="AE205" s="48"/>
      <c r="AF205" s="48"/>
      <c r="AG205" s="48"/>
      <c r="AH205" s="48"/>
      <c r="AI205" s="48"/>
      <c r="AJ205" s="44"/>
      <c r="AK205" s="44"/>
      <c r="AL205" s="44"/>
    </row>
    <row r="206" spans="1:38" x14ac:dyDescent="0.25">
      <c r="A206" s="94"/>
      <c r="B206" s="265" t="s">
        <v>1330</v>
      </c>
      <c r="C206" s="266" t="s">
        <v>1546</v>
      </c>
      <c r="D206" s="265" t="s">
        <v>146</v>
      </c>
      <c r="E206" s="265" t="s">
        <v>1547</v>
      </c>
      <c r="F206" s="267" t="s">
        <v>168</v>
      </c>
      <c r="G206" s="277">
        <v>65</v>
      </c>
      <c r="H206" s="268">
        <v>24.71</v>
      </c>
      <c r="I206" s="287">
        <v>8.09</v>
      </c>
      <c r="J206" s="268">
        <v>10.26</v>
      </c>
      <c r="K206" s="292">
        <v>16.62</v>
      </c>
      <c r="L206" s="268">
        <v>21.09</v>
      </c>
      <c r="M206" s="268">
        <v>31.35</v>
      </c>
      <c r="N206" s="268">
        <v>666.9</v>
      </c>
      <c r="O206" s="268">
        <v>1370.85</v>
      </c>
      <c r="P206" s="268">
        <v>2037.75</v>
      </c>
      <c r="Q206" s="269">
        <v>8.0000000000000004E-4</v>
      </c>
      <c r="R206" s="44"/>
      <c r="S206" s="49">
        <f t="shared" si="2"/>
        <v>1606.15</v>
      </c>
      <c r="T206" s="126"/>
      <c r="U206" s="48"/>
      <c r="V206" s="48"/>
      <c r="W206" s="48"/>
      <c r="X206" s="48"/>
      <c r="Y206" s="48"/>
      <c r="Z206" s="48"/>
      <c r="AA206" s="48"/>
      <c r="AB206" s="48"/>
      <c r="AC206" s="48"/>
      <c r="AD206" s="48"/>
      <c r="AE206" s="48"/>
      <c r="AF206" s="48"/>
      <c r="AG206" s="48"/>
      <c r="AH206" s="48"/>
      <c r="AI206" s="48"/>
      <c r="AJ206" s="44"/>
      <c r="AK206" s="44"/>
      <c r="AL206" s="44"/>
    </row>
    <row r="207" spans="1:38" ht="27.6" x14ac:dyDescent="0.25">
      <c r="A207" s="94"/>
      <c r="B207" s="265" t="s">
        <v>1555</v>
      </c>
      <c r="C207" s="266" t="s">
        <v>711</v>
      </c>
      <c r="D207" s="265" t="s">
        <v>40</v>
      </c>
      <c r="E207" s="265" t="s">
        <v>712</v>
      </c>
      <c r="F207" s="267" t="s">
        <v>55</v>
      </c>
      <c r="G207" s="277">
        <v>65.8</v>
      </c>
      <c r="H207" s="268">
        <v>25.17</v>
      </c>
      <c r="I207" s="287">
        <v>8.17</v>
      </c>
      <c r="J207" s="268">
        <v>10.37</v>
      </c>
      <c r="K207" s="292">
        <v>17</v>
      </c>
      <c r="L207" s="268">
        <v>21.57</v>
      </c>
      <c r="M207" s="268">
        <v>31.94</v>
      </c>
      <c r="N207" s="268">
        <v>682.35</v>
      </c>
      <c r="O207" s="268">
        <v>1419.31</v>
      </c>
      <c r="P207" s="268">
        <v>2101.66</v>
      </c>
      <c r="Q207" s="269">
        <v>8.0000000000000004E-4</v>
      </c>
      <c r="R207" s="44"/>
      <c r="S207" s="49">
        <f t="shared" si="2"/>
        <v>1656.19</v>
      </c>
      <c r="T207" s="126"/>
      <c r="U207" s="48"/>
      <c r="V207" s="48"/>
      <c r="W207" s="48"/>
      <c r="X207" s="48"/>
      <c r="Y207" s="48"/>
      <c r="Z207" s="48"/>
      <c r="AA207" s="48"/>
      <c r="AB207" s="48"/>
      <c r="AC207" s="48"/>
      <c r="AD207" s="48"/>
      <c r="AE207" s="48"/>
      <c r="AF207" s="48"/>
      <c r="AG207" s="48"/>
      <c r="AH207" s="48"/>
      <c r="AI207" s="48"/>
      <c r="AJ207" s="44"/>
      <c r="AK207" s="44"/>
      <c r="AL207" s="44"/>
    </row>
    <row r="208" spans="1:38" ht="27.6" x14ac:dyDescent="0.25">
      <c r="A208" s="94"/>
      <c r="B208" s="265" t="s">
        <v>589</v>
      </c>
      <c r="C208" s="266" t="s">
        <v>1138</v>
      </c>
      <c r="D208" s="265" t="s">
        <v>40</v>
      </c>
      <c r="E208" s="265" t="s">
        <v>1139</v>
      </c>
      <c r="F208" s="267" t="s">
        <v>55</v>
      </c>
      <c r="G208" s="277">
        <v>32</v>
      </c>
      <c r="H208" s="268">
        <v>47</v>
      </c>
      <c r="I208" s="287">
        <v>3.35</v>
      </c>
      <c r="J208" s="268">
        <v>4.25</v>
      </c>
      <c r="K208" s="292">
        <v>43.65</v>
      </c>
      <c r="L208" s="268">
        <v>55.38</v>
      </c>
      <c r="M208" s="268">
        <v>59.63</v>
      </c>
      <c r="N208" s="268">
        <v>136</v>
      </c>
      <c r="O208" s="268">
        <v>1772.16</v>
      </c>
      <c r="P208" s="268">
        <v>1908.16</v>
      </c>
      <c r="Q208" s="269">
        <v>8.0000000000000004E-4</v>
      </c>
      <c r="R208" s="44"/>
      <c r="S208" s="49">
        <f t="shared" si="2"/>
        <v>1504</v>
      </c>
      <c r="T208" s="126"/>
      <c r="U208" s="48"/>
      <c r="V208" s="48"/>
      <c r="W208" s="48"/>
      <c r="X208" s="48"/>
      <c r="Y208" s="48"/>
      <c r="Z208" s="48"/>
      <c r="AA208" s="48"/>
      <c r="AB208" s="48"/>
      <c r="AC208" s="48"/>
      <c r="AD208" s="48"/>
      <c r="AE208" s="48"/>
      <c r="AF208" s="48"/>
      <c r="AG208" s="48"/>
      <c r="AH208" s="48"/>
      <c r="AI208" s="48"/>
      <c r="AJ208" s="44"/>
      <c r="AK208" s="44"/>
      <c r="AL208" s="44"/>
    </row>
    <row r="209" spans="1:38" x14ac:dyDescent="0.25">
      <c r="A209" s="94"/>
      <c r="B209" s="265" t="s">
        <v>1355</v>
      </c>
      <c r="C209" s="266" t="s">
        <v>1356</v>
      </c>
      <c r="D209" s="265" t="s">
        <v>40</v>
      </c>
      <c r="E209" s="265" t="s">
        <v>1357</v>
      </c>
      <c r="F209" s="267" t="s">
        <v>41</v>
      </c>
      <c r="G209" s="277">
        <v>61.69</v>
      </c>
      <c r="H209" s="268">
        <v>21.19</v>
      </c>
      <c r="I209" s="287">
        <v>5.15</v>
      </c>
      <c r="J209" s="268">
        <v>6.53</v>
      </c>
      <c r="K209" s="292">
        <v>16.04</v>
      </c>
      <c r="L209" s="268">
        <v>20.350000000000001</v>
      </c>
      <c r="M209" s="268">
        <v>26.88</v>
      </c>
      <c r="N209" s="268">
        <v>402.84</v>
      </c>
      <c r="O209" s="268">
        <v>1255.3900000000001</v>
      </c>
      <c r="P209" s="268">
        <v>1658.23</v>
      </c>
      <c r="Q209" s="269">
        <v>6.9999999999999999E-4</v>
      </c>
      <c r="R209" s="44"/>
      <c r="S209" s="49">
        <f t="shared" si="2"/>
        <v>1307.21</v>
      </c>
      <c r="T209" s="126"/>
      <c r="U209" s="48"/>
      <c r="V209" s="48"/>
      <c r="W209" s="48"/>
      <c r="X209" s="48"/>
      <c r="Y209" s="48"/>
      <c r="Z209" s="48"/>
      <c r="AA209" s="48"/>
      <c r="AB209" s="48"/>
      <c r="AC209" s="48"/>
      <c r="AD209" s="48"/>
      <c r="AE209" s="48"/>
      <c r="AF209" s="48"/>
      <c r="AG209" s="48"/>
      <c r="AH209" s="48"/>
      <c r="AI209" s="48"/>
      <c r="AJ209" s="44"/>
      <c r="AK209" s="44"/>
      <c r="AL209" s="44"/>
    </row>
    <row r="210" spans="1:38" ht="27.6" x14ac:dyDescent="0.25">
      <c r="A210" s="94"/>
      <c r="B210" s="265" t="s">
        <v>1241</v>
      </c>
      <c r="C210" s="266" t="s">
        <v>181</v>
      </c>
      <c r="D210" s="265" t="s">
        <v>40</v>
      </c>
      <c r="E210" s="265" t="s">
        <v>182</v>
      </c>
      <c r="F210" s="267" t="s">
        <v>44</v>
      </c>
      <c r="G210" s="277">
        <v>26</v>
      </c>
      <c r="H210" s="268">
        <v>55.64</v>
      </c>
      <c r="I210" s="287">
        <v>14.02</v>
      </c>
      <c r="J210" s="268">
        <v>17.79</v>
      </c>
      <c r="K210" s="292">
        <v>41.62</v>
      </c>
      <c r="L210" s="268">
        <v>52.8</v>
      </c>
      <c r="M210" s="268">
        <v>70.59</v>
      </c>
      <c r="N210" s="268">
        <v>462.54</v>
      </c>
      <c r="O210" s="268">
        <v>1372.8</v>
      </c>
      <c r="P210" s="268">
        <v>1835.34</v>
      </c>
      <c r="Q210" s="269">
        <v>6.9999999999999999E-4</v>
      </c>
      <c r="R210" s="44"/>
      <c r="S210" s="49">
        <f t="shared" si="2"/>
        <v>1446.64</v>
      </c>
      <c r="T210" s="126"/>
      <c r="U210" s="48"/>
      <c r="V210" s="48"/>
      <c r="W210" s="48"/>
      <c r="X210" s="48"/>
      <c r="Y210" s="48"/>
      <c r="Z210" s="48"/>
      <c r="AA210" s="48"/>
      <c r="AB210" s="48"/>
      <c r="AC210" s="48"/>
      <c r="AD210" s="48"/>
      <c r="AE210" s="48"/>
      <c r="AF210" s="48"/>
      <c r="AG210" s="48"/>
      <c r="AH210" s="48"/>
      <c r="AI210" s="48"/>
      <c r="AJ210" s="44"/>
      <c r="AK210" s="44"/>
      <c r="AL210" s="44"/>
    </row>
    <row r="211" spans="1:38" x14ac:dyDescent="0.25">
      <c r="A211" s="94"/>
      <c r="B211" s="265" t="s">
        <v>1323</v>
      </c>
      <c r="C211" s="266" t="s">
        <v>1536</v>
      </c>
      <c r="D211" s="265" t="s">
        <v>584</v>
      </c>
      <c r="E211" s="265" t="s">
        <v>1537</v>
      </c>
      <c r="F211" s="267" t="s">
        <v>585</v>
      </c>
      <c r="G211" s="277">
        <v>11</v>
      </c>
      <c r="H211" s="268">
        <v>134.9</v>
      </c>
      <c r="I211" s="287">
        <v>26.65</v>
      </c>
      <c r="J211" s="268">
        <v>33.81</v>
      </c>
      <c r="K211" s="292">
        <v>108.25</v>
      </c>
      <c r="L211" s="268">
        <v>137.34</v>
      </c>
      <c r="M211" s="268">
        <v>171.15</v>
      </c>
      <c r="N211" s="268">
        <v>371.91</v>
      </c>
      <c r="O211" s="268">
        <v>1510.74</v>
      </c>
      <c r="P211" s="268">
        <v>1882.65</v>
      </c>
      <c r="Q211" s="269">
        <v>6.9999999999999999E-4</v>
      </c>
      <c r="R211" s="44"/>
      <c r="S211" s="49">
        <f t="shared" si="2"/>
        <v>1483.9</v>
      </c>
      <c r="T211" s="126"/>
      <c r="U211" s="48"/>
      <c r="V211" s="48"/>
      <c r="W211" s="48"/>
      <c r="X211" s="48"/>
      <c r="Y211" s="48"/>
      <c r="Z211" s="48"/>
      <c r="AA211" s="48"/>
      <c r="AB211" s="48"/>
      <c r="AC211" s="48"/>
      <c r="AD211" s="48"/>
      <c r="AE211" s="48"/>
      <c r="AF211" s="48"/>
      <c r="AG211" s="48"/>
      <c r="AH211" s="48"/>
      <c r="AI211" s="48"/>
      <c r="AJ211" s="44"/>
      <c r="AK211" s="44"/>
      <c r="AL211" s="44"/>
    </row>
    <row r="212" spans="1:38" x14ac:dyDescent="0.25">
      <c r="A212" s="94"/>
      <c r="B212" s="265" t="s">
        <v>1565</v>
      </c>
      <c r="C212" s="266" t="s">
        <v>720</v>
      </c>
      <c r="D212" s="265" t="s">
        <v>146</v>
      </c>
      <c r="E212" s="265" t="s">
        <v>721</v>
      </c>
      <c r="F212" s="267" t="s">
        <v>168</v>
      </c>
      <c r="G212" s="277">
        <v>107</v>
      </c>
      <c r="H212" s="268">
        <v>12.52</v>
      </c>
      <c r="I212" s="287">
        <v>6.07</v>
      </c>
      <c r="J212" s="268">
        <v>7.7</v>
      </c>
      <c r="K212" s="292">
        <v>6.45</v>
      </c>
      <c r="L212" s="268">
        <v>8.18</v>
      </c>
      <c r="M212" s="268">
        <v>15.88</v>
      </c>
      <c r="N212" s="268">
        <v>823.9</v>
      </c>
      <c r="O212" s="268">
        <v>875.26</v>
      </c>
      <c r="P212" s="268">
        <v>1699.16</v>
      </c>
      <c r="Q212" s="269">
        <v>6.9999999999999999E-4</v>
      </c>
      <c r="R212" s="44"/>
      <c r="S212" s="49">
        <f t="shared" si="2"/>
        <v>1339.64</v>
      </c>
      <c r="T212" s="126"/>
      <c r="U212" s="48"/>
      <c r="V212" s="48"/>
      <c r="W212" s="48"/>
      <c r="X212" s="48"/>
      <c r="Y212" s="48"/>
      <c r="Z212" s="48"/>
      <c r="AA212" s="48"/>
      <c r="AB212" s="48"/>
      <c r="AC212" s="48"/>
      <c r="AD212" s="48"/>
      <c r="AE212" s="48"/>
      <c r="AF212" s="48"/>
      <c r="AG212" s="48"/>
      <c r="AH212" s="48"/>
      <c r="AI212" s="48"/>
      <c r="AJ212" s="44"/>
      <c r="AK212" s="44"/>
      <c r="AL212" s="44"/>
    </row>
    <row r="213" spans="1:38" ht="15" customHeight="1" x14ac:dyDescent="0.25">
      <c r="A213" s="94"/>
      <c r="B213" s="265" t="s">
        <v>599</v>
      </c>
      <c r="C213" s="266" t="s">
        <v>1148</v>
      </c>
      <c r="D213" s="265" t="s">
        <v>51</v>
      </c>
      <c r="E213" s="265" t="s">
        <v>1149</v>
      </c>
      <c r="F213" s="267" t="s">
        <v>55</v>
      </c>
      <c r="G213" s="277">
        <v>52</v>
      </c>
      <c r="H213" s="268">
        <v>28.36</v>
      </c>
      <c r="I213" s="287">
        <v>12.12</v>
      </c>
      <c r="J213" s="268">
        <v>15.38</v>
      </c>
      <c r="K213" s="292">
        <v>16.239999999999998</v>
      </c>
      <c r="L213" s="268">
        <v>20.6</v>
      </c>
      <c r="M213" s="268">
        <v>35.979999999999997</v>
      </c>
      <c r="N213" s="268">
        <v>799.76</v>
      </c>
      <c r="O213" s="268">
        <v>1071.2</v>
      </c>
      <c r="P213" s="268">
        <v>1870.96</v>
      </c>
      <c r="Q213" s="269">
        <v>6.9999999999999999E-4</v>
      </c>
      <c r="R213" s="44"/>
      <c r="S213" s="49">
        <f t="shared" ref="S213:S276" si="3">G213*H213</f>
        <v>1474.72</v>
      </c>
      <c r="T213" s="126"/>
      <c r="U213" s="48"/>
      <c r="V213" s="48"/>
      <c r="W213" s="48"/>
      <c r="X213" s="48"/>
      <c r="Y213" s="48"/>
      <c r="Z213" s="48"/>
      <c r="AA213" s="48"/>
      <c r="AB213" s="48"/>
      <c r="AC213" s="48"/>
      <c r="AD213" s="48"/>
      <c r="AE213" s="48"/>
      <c r="AF213" s="48"/>
      <c r="AG213" s="48"/>
      <c r="AH213" s="48"/>
      <c r="AI213" s="48"/>
      <c r="AJ213" s="44"/>
      <c r="AK213" s="44"/>
      <c r="AL213" s="44"/>
    </row>
    <row r="214" spans="1:38" ht="27.6" x14ac:dyDescent="0.25">
      <c r="A214" s="94"/>
      <c r="B214" s="265" t="s">
        <v>1163</v>
      </c>
      <c r="C214" s="266" t="s">
        <v>1166</v>
      </c>
      <c r="D214" s="265" t="s">
        <v>146</v>
      </c>
      <c r="E214" s="265" t="s">
        <v>1167</v>
      </c>
      <c r="F214" s="267" t="s">
        <v>168</v>
      </c>
      <c r="G214" s="277">
        <v>1</v>
      </c>
      <c r="H214" s="268">
        <v>1309.6400000000001</v>
      </c>
      <c r="I214" s="287">
        <v>16.2</v>
      </c>
      <c r="J214" s="268">
        <v>20.55</v>
      </c>
      <c r="K214" s="292">
        <v>1293.44</v>
      </c>
      <c r="L214" s="268">
        <v>1640.99</v>
      </c>
      <c r="M214" s="268">
        <v>1661.54</v>
      </c>
      <c r="N214" s="268">
        <v>20.55</v>
      </c>
      <c r="O214" s="268">
        <v>1640.99</v>
      </c>
      <c r="P214" s="268">
        <v>1661.54</v>
      </c>
      <c r="Q214" s="269">
        <v>6.9999999999999999E-4</v>
      </c>
      <c r="R214" s="44"/>
      <c r="S214" s="49">
        <f t="shared" si="3"/>
        <v>1309.6400000000001</v>
      </c>
      <c r="T214" s="126"/>
      <c r="U214" s="48"/>
      <c r="V214" s="48"/>
      <c r="W214" s="48"/>
      <c r="X214" s="48"/>
      <c r="Y214" s="48"/>
      <c r="Z214" s="48"/>
      <c r="AA214" s="48"/>
      <c r="AB214" s="48"/>
      <c r="AC214" s="48"/>
      <c r="AD214" s="48"/>
      <c r="AE214" s="48"/>
      <c r="AF214" s="48"/>
      <c r="AG214" s="48"/>
      <c r="AH214" s="48"/>
      <c r="AI214" s="48"/>
      <c r="AJ214" s="44"/>
      <c r="AK214" s="44"/>
      <c r="AL214" s="44"/>
    </row>
    <row r="215" spans="1:38" ht="27.6" customHeight="1" x14ac:dyDescent="0.25">
      <c r="A215" s="94"/>
      <c r="B215" s="265" t="s">
        <v>1053</v>
      </c>
      <c r="C215" s="266" t="s">
        <v>266</v>
      </c>
      <c r="D215" s="265" t="s">
        <v>146</v>
      </c>
      <c r="E215" s="265" t="s">
        <v>267</v>
      </c>
      <c r="F215" s="267" t="s">
        <v>168</v>
      </c>
      <c r="G215" s="277">
        <v>10</v>
      </c>
      <c r="H215" s="268">
        <v>111.78</v>
      </c>
      <c r="I215" s="287">
        <v>6.88</v>
      </c>
      <c r="J215" s="268">
        <v>8.73</v>
      </c>
      <c r="K215" s="292">
        <v>104.9</v>
      </c>
      <c r="L215" s="268">
        <v>133.09</v>
      </c>
      <c r="M215" s="268">
        <v>141.82</v>
      </c>
      <c r="N215" s="268">
        <v>87.3</v>
      </c>
      <c r="O215" s="268">
        <v>1330.9</v>
      </c>
      <c r="P215" s="268">
        <v>1418.2</v>
      </c>
      <c r="Q215" s="269">
        <v>5.9999999999999995E-4</v>
      </c>
      <c r="R215" s="44"/>
      <c r="S215" s="49">
        <f t="shared" si="3"/>
        <v>1117.8</v>
      </c>
      <c r="T215" s="126"/>
      <c r="U215" s="48"/>
      <c r="V215" s="48"/>
      <c r="W215" s="48"/>
      <c r="X215" s="48"/>
      <c r="Y215" s="48"/>
      <c r="Z215" s="48"/>
      <c r="AA215" s="48"/>
      <c r="AB215" s="48"/>
      <c r="AC215" s="48"/>
      <c r="AD215" s="48"/>
      <c r="AE215" s="48"/>
      <c r="AF215" s="48"/>
      <c r="AG215" s="48"/>
      <c r="AH215" s="48"/>
      <c r="AI215" s="48"/>
      <c r="AJ215" s="44"/>
      <c r="AK215" s="44"/>
      <c r="AL215" s="44"/>
    </row>
    <row r="216" spans="1:38" ht="27.6" customHeight="1" x14ac:dyDescent="0.25">
      <c r="A216" s="94"/>
      <c r="B216" s="265" t="s">
        <v>1092</v>
      </c>
      <c r="C216" s="266" t="s">
        <v>696</v>
      </c>
      <c r="D216" s="265" t="s">
        <v>40</v>
      </c>
      <c r="E216" s="265" t="s">
        <v>697</v>
      </c>
      <c r="F216" s="267" t="s">
        <v>44</v>
      </c>
      <c r="G216" s="277">
        <v>39</v>
      </c>
      <c r="H216" s="268">
        <v>30.83</v>
      </c>
      <c r="I216" s="287">
        <v>15.09</v>
      </c>
      <c r="J216" s="268">
        <v>19.14</v>
      </c>
      <c r="K216" s="292">
        <v>15.74</v>
      </c>
      <c r="L216" s="268">
        <v>19.97</v>
      </c>
      <c r="M216" s="268">
        <v>39.11</v>
      </c>
      <c r="N216" s="268">
        <v>746.46</v>
      </c>
      <c r="O216" s="268">
        <v>778.83</v>
      </c>
      <c r="P216" s="268">
        <v>1525.29</v>
      </c>
      <c r="Q216" s="269">
        <v>5.9999999999999995E-4</v>
      </c>
      <c r="R216" s="44"/>
      <c r="S216" s="49">
        <f t="shared" si="3"/>
        <v>1202.3699999999999</v>
      </c>
      <c r="T216" s="126"/>
      <c r="U216" s="48"/>
      <c r="V216" s="48"/>
      <c r="W216" s="48"/>
      <c r="X216" s="48"/>
      <c r="Y216" s="48"/>
      <c r="Z216" s="48"/>
      <c r="AA216" s="48"/>
      <c r="AB216" s="48"/>
      <c r="AC216" s="48"/>
      <c r="AD216" s="48"/>
      <c r="AE216" s="48"/>
      <c r="AF216" s="48"/>
      <c r="AG216" s="48"/>
      <c r="AH216" s="48"/>
      <c r="AI216" s="48"/>
      <c r="AJ216" s="44"/>
      <c r="AK216" s="44"/>
      <c r="AL216" s="44"/>
    </row>
    <row r="217" spans="1:38" ht="27.6" x14ac:dyDescent="0.25">
      <c r="A217" s="94"/>
      <c r="B217" s="265" t="s">
        <v>1579</v>
      </c>
      <c r="C217" s="266" t="s">
        <v>1580</v>
      </c>
      <c r="D217" s="265" t="s">
        <v>40</v>
      </c>
      <c r="E217" s="265" t="s">
        <v>1581</v>
      </c>
      <c r="F217" s="267" t="s">
        <v>44</v>
      </c>
      <c r="G217" s="277">
        <v>1</v>
      </c>
      <c r="H217" s="268">
        <v>1145.0899999999999</v>
      </c>
      <c r="I217" s="287">
        <v>24.51</v>
      </c>
      <c r="J217" s="268">
        <v>31.1</v>
      </c>
      <c r="K217" s="292">
        <v>1120.58</v>
      </c>
      <c r="L217" s="268">
        <v>1421.68</v>
      </c>
      <c r="M217" s="268">
        <v>1452.78</v>
      </c>
      <c r="N217" s="268">
        <v>31.1</v>
      </c>
      <c r="O217" s="268">
        <v>1421.68</v>
      </c>
      <c r="P217" s="268">
        <v>1452.78</v>
      </c>
      <c r="Q217" s="269">
        <v>5.9999999999999995E-4</v>
      </c>
      <c r="R217" s="44"/>
      <c r="S217" s="49">
        <f t="shared" si="3"/>
        <v>1145.0899999999999</v>
      </c>
      <c r="T217" s="126"/>
      <c r="U217" s="48"/>
      <c r="V217" s="48"/>
      <c r="W217" s="48"/>
      <c r="X217" s="48"/>
      <c r="Y217" s="48"/>
      <c r="Z217" s="48"/>
      <c r="AA217" s="48"/>
      <c r="AB217" s="48"/>
      <c r="AC217" s="48"/>
      <c r="AD217" s="48"/>
      <c r="AE217" s="48"/>
      <c r="AF217" s="48"/>
      <c r="AG217" s="48"/>
      <c r="AH217" s="48"/>
      <c r="AI217" s="48"/>
      <c r="AJ217" s="44"/>
      <c r="AK217" s="44"/>
      <c r="AL217" s="44"/>
    </row>
    <row r="218" spans="1:38" x14ac:dyDescent="0.25">
      <c r="A218" s="94"/>
      <c r="B218" s="265" t="s">
        <v>1582</v>
      </c>
      <c r="C218" s="266" t="s">
        <v>1583</v>
      </c>
      <c r="D218" s="265" t="s">
        <v>51</v>
      </c>
      <c r="E218" s="265" t="s">
        <v>1584</v>
      </c>
      <c r="F218" s="267" t="s">
        <v>44</v>
      </c>
      <c r="G218" s="277">
        <v>1</v>
      </c>
      <c r="H218" s="268">
        <v>1245.1099999999999</v>
      </c>
      <c r="I218" s="287">
        <v>148.22</v>
      </c>
      <c r="J218" s="268">
        <v>188.05</v>
      </c>
      <c r="K218" s="292">
        <v>1096.8900000000001</v>
      </c>
      <c r="L218" s="268">
        <v>1391.62</v>
      </c>
      <c r="M218" s="268">
        <v>1579.67</v>
      </c>
      <c r="N218" s="268">
        <v>188.05</v>
      </c>
      <c r="O218" s="268">
        <v>1391.62</v>
      </c>
      <c r="P218" s="268">
        <v>1579.67</v>
      </c>
      <c r="Q218" s="269">
        <v>5.9999999999999995E-4</v>
      </c>
      <c r="R218" s="44"/>
      <c r="S218" s="49">
        <f t="shared" si="3"/>
        <v>1245.1099999999999</v>
      </c>
      <c r="T218" s="126"/>
      <c r="U218" s="48"/>
      <c r="V218" s="48"/>
      <c r="W218" s="48"/>
      <c r="X218" s="48"/>
      <c r="Y218" s="48"/>
      <c r="Z218" s="48"/>
      <c r="AA218" s="48"/>
      <c r="AB218" s="48"/>
      <c r="AC218" s="48"/>
      <c r="AD218" s="48"/>
      <c r="AE218" s="48"/>
      <c r="AF218" s="48"/>
      <c r="AG218" s="48"/>
      <c r="AH218" s="48"/>
      <c r="AI218" s="48"/>
      <c r="AJ218" s="44"/>
      <c r="AK218" s="44"/>
      <c r="AL218" s="44"/>
    </row>
    <row r="219" spans="1:38" ht="27.6" x14ac:dyDescent="0.25">
      <c r="A219" s="94"/>
      <c r="B219" s="265" t="s">
        <v>593</v>
      </c>
      <c r="C219" s="266" t="s">
        <v>738</v>
      </c>
      <c r="D219" s="265" t="s">
        <v>40</v>
      </c>
      <c r="E219" s="265" t="s">
        <v>1142</v>
      </c>
      <c r="F219" s="267" t="s">
        <v>55</v>
      </c>
      <c r="G219" s="277">
        <v>18</v>
      </c>
      <c r="H219" s="268">
        <v>66.7</v>
      </c>
      <c r="I219" s="287">
        <v>2.1</v>
      </c>
      <c r="J219" s="268">
        <v>2.66</v>
      </c>
      <c r="K219" s="292">
        <v>64.599999999999994</v>
      </c>
      <c r="L219" s="268">
        <v>81.96</v>
      </c>
      <c r="M219" s="268">
        <v>84.62</v>
      </c>
      <c r="N219" s="268">
        <v>47.88</v>
      </c>
      <c r="O219" s="268">
        <v>1475.28</v>
      </c>
      <c r="P219" s="268">
        <v>1523.16</v>
      </c>
      <c r="Q219" s="269">
        <v>5.9999999999999995E-4</v>
      </c>
      <c r="R219" s="44"/>
      <c r="S219" s="49">
        <f t="shared" si="3"/>
        <v>1200.5999999999999</v>
      </c>
      <c r="T219" s="126"/>
      <c r="U219" s="48"/>
      <c r="V219" s="48"/>
      <c r="W219" s="48"/>
      <c r="X219" s="48"/>
      <c r="Y219" s="48"/>
      <c r="Z219" s="48"/>
      <c r="AA219" s="48"/>
      <c r="AB219" s="48"/>
      <c r="AC219" s="48"/>
      <c r="AD219" s="48"/>
      <c r="AE219" s="48"/>
      <c r="AF219" s="48"/>
      <c r="AG219" s="48"/>
      <c r="AH219" s="48"/>
      <c r="AI219" s="48"/>
      <c r="AJ219" s="44"/>
      <c r="AK219" s="44"/>
      <c r="AL219" s="44"/>
    </row>
    <row r="220" spans="1:38" x14ac:dyDescent="0.25">
      <c r="A220" s="94"/>
      <c r="B220" s="265" t="s">
        <v>1341</v>
      </c>
      <c r="C220" s="266" t="s">
        <v>287</v>
      </c>
      <c r="D220" s="265" t="s">
        <v>146</v>
      </c>
      <c r="E220" s="265" t="s">
        <v>288</v>
      </c>
      <c r="F220" s="267" t="s">
        <v>168</v>
      </c>
      <c r="G220" s="277">
        <v>10</v>
      </c>
      <c r="H220" s="268">
        <v>113.65</v>
      </c>
      <c r="I220" s="287">
        <v>5.73</v>
      </c>
      <c r="J220" s="268">
        <v>7.27</v>
      </c>
      <c r="K220" s="292">
        <v>107.92</v>
      </c>
      <c r="L220" s="268">
        <v>136.91999999999999</v>
      </c>
      <c r="M220" s="268">
        <v>144.19</v>
      </c>
      <c r="N220" s="268">
        <v>72.7</v>
      </c>
      <c r="O220" s="268">
        <v>1369.2</v>
      </c>
      <c r="P220" s="268">
        <v>1441.9</v>
      </c>
      <c r="Q220" s="269">
        <v>5.9999999999999995E-4</v>
      </c>
      <c r="R220" s="44"/>
      <c r="S220" s="49">
        <f t="shared" si="3"/>
        <v>1136.5</v>
      </c>
      <c r="T220" s="126"/>
      <c r="U220" s="48"/>
      <c r="V220" s="48"/>
      <c r="W220" s="48"/>
      <c r="X220" s="48"/>
      <c r="Y220" s="48"/>
      <c r="Z220" s="48"/>
      <c r="AA220" s="48"/>
      <c r="AB220" s="48"/>
      <c r="AC220" s="48"/>
      <c r="AD220" s="48"/>
      <c r="AE220" s="48"/>
      <c r="AF220" s="48"/>
      <c r="AG220" s="48"/>
      <c r="AH220" s="48"/>
      <c r="AI220" s="48"/>
      <c r="AJ220" s="44"/>
      <c r="AK220" s="44"/>
      <c r="AL220" s="44"/>
    </row>
    <row r="221" spans="1:38" x14ac:dyDescent="0.25">
      <c r="A221" s="94"/>
      <c r="B221" s="265" t="s">
        <v>1594</v>
      </c>
      <c r="C221" s="266" t="s">
        <v>1595</v>
      </c>
      <c r="D221" s="265" t="s">
        <v>146</v>
      </c>
      <c r="E221" s="265" t="s">
        <v>1596</v>
      </c>
      <c r="F221" s="267" t="s">
        <v>41</v>
      </c>
      <c r="G221" s="277">
        <v>500.17</v>
      </c>
      <c r="H221" s="268">
        <v>2.39</v>
      </c>
      <c r="I221" s="287">
        <v>1.76</v>
      </c>
      <c r="J221" s="268">
        <v>2.23</v>
      </c>
      <c r="K221" s="292">
        <v>0.63</v>
      </c>
      <c r="L221" s="268">
        <v>0.8</v>
      </c>
      <c r="M221" s="268">
        <v>3.03</v>
      </c>
      <c r="N221" s="268">
        <v>1115.3800000000001</v>
      </c>
      <c r="O221" s="268">
        <v>400.14</v>
      </c>
      <c r="P221" s="268">
        <v>1515.52</v>
      </c>
      <c r="Q221" s="269">
        <v>5.9999999999999995E-4</v>
      </c>
      <c r="R221" s="44"/>
      <c r="S221" s="49">
        <f t="shared" si="3"/>
        <v>1195.4100000000001</v>
      </c>
      <c r="T221" s="126"/>
      <c r="U221" s="48"/>
      <c r="V221" s="48"/>
      <c r="W221" s="48"/>
      <c r="X221" s="48"/>
      <c r="Y221" s="48"/>
      <c r="Z221" s="48"/>
      <c r="AA221" s="48"/>
      <c r="AB221" s="48"/>
      <c r="AC221" s="48"/>
      <c r="AD221" s="48"/>
      <c r="AE221" s="48"/>
      <c r="AF221" s="48"/>
      <c r="AG221" s="48"/>
      <c r="AH221" s="48"/>
      <c r="AI221" s="48"/>
      <c r="AJ221" s="44"/>
      <c r="AK221" s="44"/>
      <c r="AL221" s="44"/>
    </row>
    <row r="222" spans="1:38" ht="27.6" x14ac:dyDescent="0.25">
      <c r="A222" s="94"/>
      <c r="B222" s="265" t="s">
        <v>114</v>
      </c>
      <c r="C222" s="266" t="s">
        <v>1447</v>
      </c>
      <c r="D222" s="265" t="s">
        <v>40</v>
      </c>
      <c r="E222" s="265" t="s">
        <v>1448</v>
      </c>
      <c r="F222" s="267" t="s">
        <v>65</v>
      </c>
      <c r="G222" s="277">
        <v>93.4</v>
      </c>
      <c r="H222" s="268">
        <v>10.84</v>
      </c>
      <c r="I222" s="287">
        <v>0.32</v>
      </c>
      <c r="J222" s="268">
        <v>0.41</v>
      </c>
      <c r="K222" s="292">
        <v>10.52</v>
      </c>
      <c r="L222" s="268">
        <v>13.35</v>
      </c>
      <c r="M222" s="268">
        <v>13.76</v>
      </c>
      <c r="N222" s="268">
        <v>38.29</v>
      </c>
      <c r="O222" s="268">
        <v>1246.8900000000001</v>
      </c>
      <c r="P222" s="268">
        <v>1285.18</v>
      </c>
      <c r="Q222" s="269">
        <v>5.0000000000000001E-4</v>
      </c>
      <c r="R222" s="44"/>
      <c r="S222" s="49">
        <f t="shared" si="3"/>
        <v>1012.46</v>
      </c>
      <c r="T222" s="126"/>
      <c r="U222" s="48"/>
      <c r="V222" s="48"/>
      <c r="W222" s="48"/>
      <c r="X222" s="48"/>
      <c r="Y222" s="48"/>
      <c r="Z222" s="48"/>
      <c r="AA222" s="48"/>
      <c r="AB222" s="48"/>
      <c r="AC222" s="48"/>
      <c r="AD222" s="48"/>
      <c r="AE222" s="48"/>
      <c r="AF222" s="48"/>
      <c r="AG222" s="48"/>
      <c r="AH222" s="48"/>
      <c r="AI222" s="48"/>
      <c r="AJ222" s="44"/>
      <c r="AK222" s="44"/>
      <c r="AL222" s="44"/>
    </row>
    <row r="223" spans="1:38" ht="27.6" x14ac:dyDescent="0.25">
      <c r="A223" s="94"/>
      <c r="B223" s="265" t="s">
        <v>1358</v>
      </c>
      <c r="C223" s="266">
        <v>102219</v>
      </c>
      <c r="D223" s="265" t="s">
        <v>40</v>
      </c>
      <c r="E223" s="265" t="s">
        <v>1359</v>
      </c>
      <c r="F223" s="267" t="s">
        <v>41</v>
      </c>
      <c r="G223" s="277">
        <v>61.69</v>
      </c>
      <c r="H223" s="268">
        <v>16.489999999999998</v>
      </c>
      <c r="I223" s="287">
        <v>7</v>
      </c>
      <c r="J223" s="268">
        <v>8.8800000000000008</v>
      </c>
      <c r="K223" s="292">
        <v>9.49</v>
      </c>
      <c r="L223" s="268">
        <v>12.04</v>
      </c>
      <c r="M223" s="268">
        <v>20.92</v>
      </c>
      <c r="N223" s="268">
        <v>547.80999999999995</v>
      </c>
      <c r="O223" s="268">
        <v>742.75</v>
      </c>
      <c r="P223" s="268">
        <v>1290.56</v>
      </c>
      <c r="Q223" s="269">
        <v>5.0000000000000001E-4</v>
      </c>
      <c r="R223" s="44"/>
      <c r="S223" s="49">
        <f t="shared" si="3"/>
        <v>1017.27</v>
      </c>
      <c r="T223" s="126"/>
      <c r="U223" s="48"/>
      <c r="V223" s="48"/>
      <c r="W223" s="48"/>
      <c r="X223" s="48"/>
      <c r="Y223" s="48"/>
      <c r="Z223" s="48"/>
      <c r="AA223" s="48"/>
      <c r="AB223" s="48"/>
      <c r="AC223" s="48"/>
      <c r="AD223" s="48"/>
      <c r="AE223" s="48"/>
      <c r="AF223" s="48"/>
      <c r="AG223" s="48"/>
      <c r="AH223" s="48"/>
      <c r="AI223" s="48"/>
      <c r="AJ223" s="44"/>
      <c r="AK223" s="44"/>
      <c r="AL223" s="44"/>
    </row>
    <row r="224" spans="1:38" x14ac:dyDescent="0.25">
      <c r="A224" s="94"/>
      <c r="B224" s="265" t="s">
        <v>1033</v>
      </c>
      <c r="C224" s="266" t="s">
        <v>832</v>
      </c>
      <c r="D224" s="265" t="s">
        <v>199</v>
      </c>
      <c r="E224" s="265" t="s">
        <v>1034</v>
      </c>
      <c r="F224" s="267" t="s">
        <v>168</v>
      </c>
      <c r="G224" s="277">
        <v>1</v>
      </c>
      <c r="H224" s="268">
        <v>1064.22</v>
      </c>
      <c r="I224" s="287">
        <v>64.22</v>
      </c>
      <c r="J224" s="268">
        <v>81.48</v>
      </c>
      <c r="K224" s="292">
        <v>1000</v>
      </c>
      <c r="L224" s="268">
        <v>1268.7</v>
      </c>
      <c r="M224" s="268">
        <v>1350.18</v>
      </c>
      <c r="N224" s="268">
        <v>81.48</v>
      </c>
      <c r="O224" s="268">
        <v>1268.7</v>
      </c>
      <c r="P224" s="268">
        <v>1350.18</v>
      </c>
      <c r="Q224" s="269">
        <v>5.0000000000000001E-4</v>
      </c>
      <c r="R224" s="44"/>
      <c r="S224" s="49">
        <f t="shared" si="3"/>
        <v>1064.22</v>
      </c>
      <c r="T224" s="126"/>
      <c r="U224" s="48"/>
      <c r="V224" s="48"/>
      <c r="W224" s="48"/>
      <c r="X224" s="48"/>
      <c r="Y224" s="48"/>
      <c r="Z224" s="48"/>
      <c r="AA224" s="48"/>
      <c r="AB224" s="48"/>
      <c r="AC224" s="48"/>
      <c r="AD224" s="48"/>
      <c r="AE224" s="48"/>
      <c r="AF224" s="48"/>
      <c r="AG224" s="48"/>
      <c r="AH224" s="48"/>
      <c r="AI224" s="48"/>
      <c r="AJ224" s="44"/>
      <c r="AK224" s="44"/>
      <c r="AL224" s="44"/>
    </row>
    <row r="225" spans="1:38" ht="41.4" x14ac:dyDescent="0.25">
      <c r="A225" s="94"/>
      <c r="B225" s="265" t="s">
        <v>1036</v>
      </c>
      <c r="C225" s="266" t="s">
        <v>255</v>
      </c>
      <c r="D225" s="265" t="s">
        <v>40</v>
      </c>
      <c r="E225" s="265" t="s">
        <v>256</v>
      </c>
      <c r="F225" s="267" t="s">
        <v>44</v>
      </c>
      <c r="G225" s="277">
        <v>1</v>
      </c>
      <c r="H225" s="268">
        <v>922.35</v>
      </c>
      <c r="I225" s="287">
        <v>51.86</v>
      </c>
      <c r="J225" s="268">
        <v>65.790000000000006</v>
      </c>
      <c r="K225" s="292">
        <v>870.49</v>
      </c>
      <c r="L225" s="268">
        <v>1104.3900000000001</v>
      </c>
      <c r="M225" s="268">
        <v>1170.18</v>
      </c>
      <c r="N225" s="268">
        <v>65.790000000000006</v>
      </c>
      <c r="O225" s="268">
        <v>1104.3900000000001</v>
      </c>
      <c r="P225" s="268">
        <v>1170.18</v>
      </c>
      <c r="Q225" s="269">
        <v>5.0000000000000001E-4</v>
      </c>
      <c r="R225" s="44"/>
      <c r="S225" s="49">
        <f t="shared" si="3"/>
        <v>922.35</v>
      </c>
      <c r="T225" s="126"/>
      <c r="U225" s="48"/>
      <c r="V225" s="48"/>
      <c r="W225" s="48"/>
      <c r="X225" s="48"/>
      <c r="Y225" s="48"/>
      <c r="Z225" s="48"/>
      <c r="AA225" s="48"/>
      <c r="AB225" s="48"/>
      <c r="AC225" s="48"/>
      <c r="AD225" s="48"/>
      <c r="AE225" s="48"/>
      <c r="AF225" s="48"/>
      <c r="AG225" s="48"/>
      <c r="AH225" s="48"/>
      <c r="AI225" s="48"/>
      <c r="AJ225" s="44"/>
      <c r="AK225" s="44"/>
      <c r="AL225" s="44"/>
    </row>
    <row r="226" spans="1:38" x14ac:dyDescent="0.25">
      <c r="A226" s="94"/>
      <c r="B226" s="265" t="s">
        <v>1039</v>
      </c>
      <c r="C226" s="266" t="s">
        <v>964</v>
      </c>
      <c r="D226" s="265" t="s">
        <v>199</v>
      </c>
      <c r="E226" s="265" t="s">
        <v>965</v>
      </c>
      <c r="F226" s="267" t="s">
        <v>168</v>
      </c>
      <c r="G226" s="277">
        <v>8</v>
      </c>
      <c r="H226" s="268">
        <v>123.36</v>
      </c>
      <c r="I226" s="287">
        <v>22.83</v>
      </c>
      <c r="J226" s="268">
        <v>28.96</v>
      </c>
      <c r="K226" s="292">
        <v>100.53</v>
      </c>
      <c r="L226" s="268">
        <v>127.54</v>
      </c>
      <c r="M226" s="268">
        <v>156.5</v>
      </c>
      <c r="N226" s="268">
        <v>231.68</v>
      </c>
      <c r="O226" s="268">
        <v>1020.32</v>
      </c>
      <c r="P226" s="268">
        <v>1252</v>
      </c>
      <c r="Q226" s="269">
        <v>5.0000000000000001E-4</v>
      </c>
      <c r="R226" s="44"/>
      <c r="S226" s="49">
        <f t="shared" si="3"/>
        <v>986.88</v>
      </c>
      <c r="T226" s="126"/>
      <c r="U226" s="48"/>
      <c r="V226" s="48"/>
      <c r="W226" s="48"/>
      <c r="X226" s="48"/>
      <c r="Y226" s="48"/>
      <c r="Z226" s="48"/>
      <c r="AA226" s="48"/>
      <c r="AB226" s="48"/>
      <c r="AC226" s="48"/>
      <c r="AD226" s="48"/>
      <c r="AE226" s="48"/>
      <c r="AF226" s="48"/>
      <c r="AG226" s="48"/>
      <c r="AH226" s="48"/>
      <c r="AI226" s="48"/>
      <c r="AJ226" s="44"/>
      <c r="AK226" s="44"/>
      <c r="AL226" s="44"/>
    </row>
    <row r="227" spans="1:38" ht="27.6" x14ac:dyDescent="0.25">
      <c r="A227" s="94"/>
      <c r="B227" s="265" t="s">
        <v>1056</v>
      </c>
      <c r="C227" s="266" t="s">
        <v>1471</v>
      </c>
      <c r="D227" s="265" t="s">
        <v>40</v>
      </c>
      <c r="E227" s="265" t="s">
        <v>1472</v>
      </c>
      <c r="F227" s="267" t="s">
        <v>44</v>
      </c>
      <c r="G227" s="277">
        <v>1</v>
      </c>
      <c r="H227" s="268">
        <v>1094.6199999999999</v>
      </c>
      <c r="I227" s="287">
        <v>28.86</v>
      </c>
      <c r="J227" s="268">
        <v>36.61</v>
      </c>
      <c r="K227" s="292">
        <v>1065.76</v>
      </c>
      <c r="L227" s="268">
        <v>1352.13</v>
      </c>
      <c r="M227" s="268">
        <v>1388.74</v>
      </c>
      <c r="N227" s="268">
        <v>36.61</v>
      </c>
      <c r="O227" s="268">
        <v>1352.13</v>
      </c>
      <c r="P227" s="268">
        <v>1388.74</v>
      </c>
      <c r="Q227" s="269">
        <v>5.0000000000000001E-4</v>
      </c>
      <c r="R227" s="44"/>
      <c r="S227" s="49">
        <f t="shared" si="3"/>
        <v>1094.6199999999999</v>
      </c>
      <c r="T227" s="126"/>
      <c r="U227" s="48"/>
      <c r="V227" s="48"/>
      <c r="W227" s="48"/>
      <c r="X227" s="48"/>
      <c r="Y227" s="48"/>
      <c r="Z227" s="48"/>
      <c r="AA227" s="48"/>
      <c r="AB227" s="48"/>
      <c r="AC227" s="48"/>
      <c r="AD227" s="48"/>
      <c r="AE227" s="48"/>
      <c r="AF227" s="48"/>
      <c r="AG227" s="48"/>
      <c r="AH227" s="48"/>
      <c r="AI227" s="48"/>
      <c r="AJ227" s="44"/>
      <c r="AK227" s="44"/>
      <c r="AL227" s="44"/>
    </row>
    <row r="228" spans="1:38" x14ac:dyDescent="0.25">
      <c r="A228" s="94"/>
      <c r="B228" s="265" t="s">
        <v>1204</v>
      </c>
      <c r="C228" s="266" t="s">
        <v>850</v>
      </c>
      <c r="D228" s="265" t="s">
        <v>199</v>
      </c>
      <c r="E228" s="265" t="s">
        <v>851</v>
      </c>
      <c r="F228" s="267" t="s">
        <v>393</v>
      </c>
      <c r="G228" s="277">
        <v>1</v>
      </c>
      <c r="H228" s="268">
        <v>1039.18</v>
      </c>
      <c r="I228" s="287">
        <v>54.78</v>
      </c>
      <c r="J228" s="268">
        <v>69.5</v>
      </c>
      <c r="K228" s="292">
        <v>984.4</v>
      </c>
      <c r="L228" s="268">
        <v>1248.9100000000001</v>
      </c>
      <c r="M228" s="268">
        <v>1318.41</v>
      </c>
      <c r="N228" s="268">
        <v>69.5</v>
      </c>
      <c r="O228" s="268">
        <v>1248.9100000000001</v>
      </c>
      <c r="P228" s="268">
        <v>1318.41</v>
      </c>
      <c r="Q228" s="269">
        <v>5.0000000000000001E-4</v>
      </c>
      <c r="R228" s="44"/>
      <c r="S228" s="49">
        <f t="shared" si="3"/>
        <v>1039.18</v>
      </c>
      <c r="T228" s="126"/>
      <c r="U228" s="48"/>
      <c r="V228" s="48"/>
      <c r="W228" s="48"/>
      <c r="X228" s="48"/>
      <c r="Y228" s="48"/>
      <c r="Z228" s="48"/>
      <c r="AA228" s="48"/>
      <c r="AB228" s="48"/>
      <c r="AC228" s="48"/>
      <c r="AD228" s="48"/>
      <c r="AE228" s="48"/>
      <c r="AF228" s="48"/>
      <c r="AG228" s="48"/>
      <c r="AH228" s="48"/>
      <c r="AI228" s="48"/>
      <c r="AJ228" s="44"/>
      <c r="AK228" s="44"/>
      <c r="AL228" s="44"/>
    </row>
    <row r="229" spans="1:38" ht="27.6" x14ac:dyDescent="0.25">
      <c r="A229" s="94"/>
      <c r="B229" s="265" t="s">
        <v>1246</v>
      </c>
      <c r="C229" s="266" t="s">
        <v>645</v>
      </c>
      <c r="D229" s="265" t="s">
        <v>40</v>
      </c>
      <c r="E229" s="265" t="s">
        <v>646</v>
      </c>
      <c r="F229" s="267" t="s">
        <v>44</v>
      </c>
      <c r="G229" s="277">
        <v>15</v>
      </c>
      <c r="H229" s="268">
        <v>61.96</v>
      </c>
      <c r="I229" s="287">
        <v>4.3499999999999996</v>
      </c>
      <c r="J229" s="268">
        <v>5.52</v>
      </c>
      <c r="K229" s="292">
        <v>57.61</v>
      </c>
      <c r="L229" s="268">
        <v>73.09</v>
      </c>
      <c r="M229" s="268">
        <v>78.61</v>
      </c>
      <c r="N229" s="268">
        <v>82.8</v>
      </c>
      <c r="O229" s="268">
        <v>1096.3499999999999</v>
      </c>
      <c r="P229" s="268">
        <v>1179.1500000000001</v>
      </c>
      <c r="Q229" s="269">
        <v>5.0000000000000001E-4</v>
      </c>
      <c r="R229" s="44"/>
      <c r="S229" s="49">
        <f t="shared" si="3"/>
        <v>929.4</v>
      </c>
      <c r="T229" s="126"/>
      <c r="U229" s="48"/>
      <c r="V229" s="48"/>
      <c r="W229" s="48"/>
      <c r="X229" s="48"/>
      <c r="Y229" s="48"/>
      <c r="Z229" s="48"/>
      <c r="AA229" s="48"/>
      <c r="AB229" s="48"/>
      <c r="AC229" s="48"/>
      <c r="AD229" s="48"/>
      <c r="AE229" s="48"/>
      <c r="AF229" s="48"/>
      <c r="AG229" s="48"/>
      <c r="AH229" s="48"/>
      <c r="AI229" s="48"/>
      <c r="AJ229" s="44"/>
      <c r="AK229" s="44"/>
      <c r="AL229" s="44"/>
    </row>
    <row r="230" spans="1:38" ht="27.6" x14ac:dyDescent="0.25">
      <c r="A230" s="94"/>
      <c r="B230" s="265" t="s">
        <v>1300</v>
      </c>
      <c r="C230" s="266" t="s">
        <v>857</v>
      </c>
      <c r="D230" s="265" t="s">
        <v>146</v>
      </c>
      <c r="E230" s="265" t="s">
        <v>858</v>
      </c>
      <c r="F230" s="267" t="s">
        <v>168</v>
      </c>
      <c r="G230" s="277">
        <v>39</v>
      </c>
      <c r="H230" s="268">
        <v>23.69</v>
      </c>
      <c r="I230" s="287">
        <v>3.51</v>
      </c>
      <c r="J230" s="268">
        <v>4.45</v>
      </c>
      <c r="K230" s="292">
        <v>20.18</v>
      </c>
      <c r="L230" s="268">
        <v>25.6</v>
      </c>
      <c r="M230" s="268">
        <v>30.05</v>
      </c>
      <c r="N230" s="268">
        <v>173.55</v>
      </c>
      <c r="O230" s="268">
        <v>998.4</v>
      </c>
      <c r="P230" s="268">
        <v>1171.95</v>
      </c>
      <c r="Q230" s="269">
        <v>5.0000000000000001E-4</v>
      </c>
      <c r="R230" s="44"/>
      <c r="S230" s="49">
        <f t="shared" si="3"/>
        <v>923.91</v>
      </c>
      <c r="T230" s="126"/>
      <c r="U230" s="48"/>
      <c r="V230" s="48"/>
      <c r="W230" s="48"/>
      <c r="X230" s="48"/>
      <c r="Y230" s="48"/>
      <c r="Z230" s="48"/>
      <c r="AA230" s="48"/>
      <c r="AB230" s="48"/>
      <c r="AC230" s="48"/>
      <c r="AD230" s="48"/>
      <c r="AE230" s="48"/>
      <c r="AF230" s="48"/>
      <c r="AG230" s="48"/>
      <c r="AH230" s="48"/>
      <c r="AI230" s="48"/>
      <c r="AJ230" s="44"/>
      <c r="AK230" s="44"/>
      <c r="AL230" s="44"/>
    </row>
    <row r="231" spans="1:38" x14ac:dyDescent="0.25">
      <c r="A231" s="94"/>
      <c r="B231" s="265" t="s">
        <v>1301</v>
      </c>
      <c r="C231" s="266" t="s">
        <v>1498</v>
      </c>
      <c r="D231" s="265" t="s">
        <v>51</v>
      </c>
      <c r="E231" s="265" t="s">
        <v>1499</v>
      </c>
      <c r="F231" s="267" t="s">
        <v>44</v>
      </c>
      <c r="G231" s="277">
        <v>33</v>
      </c>
      <c r="H231" s="268">
        <v>27.9</v>
      </c>
      <c r="I231" s="287">
        <v>4</v>
      </c>
      <c r="J231" s="268">
        <v>5.07</v>
      </c>
      <c r="K231" s="292">
        <v>23.9</v>
      </c>
      <c r="L231" s="268">
        <v>30.32</v>
      </c>
      <c r="M231" s="268">
        <v>35.39</v>
      </c>
      <c r="N231" s="268">
        <v>167.31</v>
      </c>
      <c r="O231" s="268">
        <v>1000.56</v>
      </c>
      <c r="P231" s="268">
        <v>1167.8699999999999</v>
      </c>
      <c r="Q231" s="269">
        <v>5.0000000000000001E-4</v>
      </c>
      <c r="R231" s="44"/>
      <c r="S231" s="49">
        <f t="shared" si="3"/>
        <v>920.7</v>
      </c>
      <c r="T231" s="126"/>
      <c r="U231" s="48"/>
      <c r="V231" s="48"/>
      <c r="W231" s="48"/>
      <c r="X231" s="48"/>
      <c r="Y231" s="48"/>
      <c r="Z231" s="48"/>
      <c r="AA231" s="48"/>
      <c r="AB231" s="48"/>
      <c r="AC231" s="48"/>
      <c r="AD231" s="48"/>
      <c r="AE231" s="48"/>
      <c r="AF231" s="48"/>
      <c r="AG231" s="48"/>
      <c r="AH231" s="48"/>
      <c r="AI231" s="48"/>
      <c r="AJ231" s="44"/>
      <c r="AK231" s="44"/>
      <c r="AL231" s="44"/>
    </row>
    <row r="232" spans="1:38" x14ac:dyDescent="0.25">
      <c r="A232" s="94"/>
      <c r="B232" s="265" t="s">
        <v>1063</v>
      </c>
      <c r="C232" s="266" t="s">
        <v>677</v>
      </c>
      <c r="D232" s="265" t="s">
        <v>51</v>
      </c>
      <c r="E232" s="265" t="s">
        <v>678</v>
      </c>
      <c r="F232" s="267" t="s">
        <v>342</v>
      </c>
      <c r="G232" s="277">
        <v>407</v>
      </c>
      <c r="H232" s="268">
        <v>2.6</v>
      </c>
      <c r="I232" s="287">
        <v>1.8</v>
      </c>
      <c r="J232" s="268">
        <v>2.2799999999999998</v>
      </c>
      <c r="K232" s="292">
        <v>0.8</v>
      </c>
      <c r="L232" s="268">
        <v>1.01</v>
      </c>
      <c r="M232" s="268">
        <v>3.29</v>
      </c>
      <c r="N232" s="268">
        <v>927.96</v>
      </c>
      <c r="O232" s="268">
        <v>411.07</v>
      </c>
      <c r="P232" s="268">
        <v>1339.03</v>
      </c>
      <c r="Q232" s="269">
        <v>5.0000000000000001E-4</v>
      </c>
      <c r="R232" s="44"/>
      <c r="S232" s="49">
        <f t="shared" si="3"/>
        <v>1058.2</v>
      </c>
      <c r="T232" s="126"/>
      <c r="U232" s="48"/>
      <c r="V232" s="48"/>
      <c r="W232" s="48"/>
      <c r="X232" s="48"/>
      <c r="Y232" s="48"/>
      <c r="Z232" s="48"/>
      <c r="AA232" s="48"/>
      <c r="AB232" s="48"/>
      <c r="AC232" s="48"/>
      <c r="AD232" s="48"/>
      <c r="AE232" s="48"/>
      <c r="AF232" s="48"/>
      <c r="AG232" s="48"/>
      <c r="AH232" s="48"/>
      <c r="AI232" s="48"/>
      <c r="AJ232" s="44"/>
      <c r="AK232" s="44"/>
      <c r="AL232" s="44"/>
    </row>
    <row r="233" spans="1:38" ht="27.6" customHeight="1" x14ac:dyDescent="0.25">
      <c r="A233" s="94"/>
      <c r="B233" s="265" t="s">
        <v>1080</v>
      </c>
      <c r="C233" s="266" t="s">
        <v>213</v>
      </c>
      <c r="D233" s="265" t="s">
        <v>40</v>
      </c>
      <c r="E233" s="265" t="s">
        <v>214</v>
      </c>
      <c r="F233" s="267" t="s">
        <v>55</v>
      </c>
      <c r="G233" s="277">
        <v>102.2</v>
      </c>
      <c r="H233" s="268">
        <v>9.25</v>
      </c>
      <c r="I233" s="287">
        <v>1.72</v>
      </c>
      <c r="J233" s="268">
        <v>2.1800000000000002</v>
      </c>
      <c r="K233" s="292">
        <v>7.53</v>
      </c>
      <c r="L233" s="268">
        <v>9.5500000000000007</v>
      </c>
      <c r="M233" s="268">
        <v>11.73</v>
      </c>
      <c r="N233" s="268">
        <v>222.8</v>
      </c>
      <c r="O233" s="268">
        <v>976.01</v>
      </c>
      <c r="P233" s="268">
        <v>1198.81</v>
      </c>
      <c r="Q233" s="269">
        <v>5.0000000000000001E-4</v>
      </c>
      <c r="R233" s="44"/>
      <c r="S233" s="49">
        <f t="shared" si="3"/>
        <v>945.35</v>
      </c>
      <c r="T233" s="126"/>
      <c r="U233" s="48"/>
      <c r="V233" s="48"/>
      <c r="W233" s="48"/>
      <c r="X233" s="48"/>
      <c r="Y233" s="48"/>
      <c r="Z233" s="48"/>
      <c r="AA233" s="48"/>
      <c r="AB233" s="48"/>
      <c r="AC233" s="48"/>
      <c r="AD233" s="48"/>
      <c r="AE233" s="48"/>
      <c r="AF233" s="48"/>
      <c r="AG233" s="48"/>
      <c r="AH233" s="48"/>
      <c r="AI233" s="48"/>
      <c r="AJ233" s="44"/>
      <c r="AK233" s="44"/>
      <c r="AL233" s="44"/>
    </row>
    <row r="234" spans="1:38" ht="27.6" x14ac:dyDescent="0.25">
      <c r="A234" s="94"/>
      <c r="B234" s="265" t="s">
        <v>1101</v>
      </c>
      <c r="C234" s="266" t="s">
        <v>701</v>
      </c>
      <c r="D234" s="265" t="s">
        <v>40</v>
      </c>
      <c r="E234" s="265" t="s">
        <v>702</v>
      </c>
      <c r="F234" s="267" t="s">
        <v>44</v>
      </c>
      <c r="G234" s="277">
        <v>46</v>
      </c>
      <c r="H234" s="268">
        <v>21.13</v>
      </c>
      <c r="I234" s="287">
        <v>10.76</v>
      </c>
      <c r="J234" s="268">
        <v>13.65</v>
      </c>
      <c r="K234" s="292">
        <v>10.37</v>
      </c>
      <c r="L234" s="268">
        <v>13.16</v>
      </c>
      <c r="M234" s="268">
        <v>26.81</v>
      </c>
      <c r="N234" s="268">
        <v>627.9</v>
      </c>
      <c r="O234" s="268">
        <v>605.36</v>
      </c>
      <c r="P234" s="268">
        <v>1233.26</v>
      </c>
      <c r="Q234" s="269">
        <v>5.0000000000000001E-4</v>
      </c>
      <c r="R234" s="44"/>
      <c r="S234" s="49">
        <f t="shared" si="3"/>
        <v>971.98</v>
      </c>
      <c r="T234" s="126"/>
      <c r="U234" s="48"/>
      <c r="V234" s="48"/>
      <c r="W234" s="48"/>
      <c r="X234" s="48"/>
      <c r="Y234" s="48"/>
      <c r="Z234" s="48"/>
      <c r="AA234" s="48"/>
      <c r="AB234" s="48"/>
      <c r="AC234" s="48"/>
      <c r="AD234" s="48"/>
      <c r="AE234" s="48"/>
      <c r="AF234" s="48"/>
      <c r="AG234" s="48"/>
      <c r="AH234" s="48"/>
      <c r="AI234" s="48"/>
      <c r="AJ234" s="44"/>
      <c r="AK234" s="44"/>
      <c r="AL234" s="44"/>
    </row>
    <row r="235" spans="1:38" ht="27.6" x14ac:dyDescent="0.25">
      <c r="A235" s="94"/>
      <c r="B235" s="265" t="s">
        <v>1319</v>
      </c>
      <c r="C235" s="266" t="s">
        <v>705</v>
      </c>
      <c r="D235" s="265" t="s">
        <v>40</v>
      </c>
      <c r="E235" s="265" t="s">
        <v>706</v>
      </c>
      <c r="F235" s="267" t="s">
        <v>44</v>
      </c>
      <c r="G235" s="277">
        <v>2</v>
      </c>
      <c r="H235" s="268">
        <v>520.39</v>
      </c>
      <c r="I235" s="287">
        <v>44.84</v>
      </c>
      <c r="J235" s="268">
        <v>56.89</v>
      </c>
      <c r="K235" s="292">
        <v>475.55</v>
      </c>
      <c r="L235" s="268">
        <v>603.33000000000004</v>
      </c>
      <c r="M235" s="268">
        <v>660.22</v>
      </c>
      <c r="N235" s="268">
        <v>113.78</v>
      </c>
      <c r="O235" s="268">
        <v>1206.6600000000001</v>
      </c>
      <c r="P235" s="268">
        <v>1320.44</v>
      </c>
      <c r="Q235" s="269">
        <v>5.0000000000000001E-4</v>
      </c>
      <c r="R235" s="44"/>
      <c r="S235" s="49">
        <f t="shared" si="3"/>
        <v>1040.78</v>
      </c>
      <c r="T235" s="126"/>
      <c r="U235" s="48"/>
      <c r="V235" s="48"/>
      <c r="W235" s="48"/>
      <c r="X235" s="48"/>
      <c r="Y235" s="48"/>
      <c r="Z235" s="48"/>
      <c r="AA235" s="48"/>
      <c r="AB235" s="48"/>
      <c r="AC235" s="48"/>
      <c r="AD235" s="48"/>
      <c r="AE235" s="48"/>
      <c r="AF235" s="48"/>
      <c r="AG235" s="48"/>
      <c r="AH235" s="48"/>
      <c r="AI235" s="48"/>
      <c r="AJ235" s="44"/>
      <c r="AK235" s="44"/>
      <c r="AL235" s="44"/>
    </row>
    <row r="236" spans="1:38" x14ac:dyDescent="0.25">
      <c r="A236" s="94"/>
      <c r="B236" s="265" t="s">
        <v>847</v>
      </c>
      <c r="C236" s="266" t="s">
        <v>966</v>
      </c>
      <c r="D236" s="265" t="s">
        <v>51</v>
      </c>
      <c r="E236" s="265" t="s">
        <v>967</v>
      </c>
      <c r="F236" s="267" t="s">
        <v>44</v>
      </c>
      <c r="G236" s="277">
        <v>20</v>
      </c>
      <c r="H236" s="268">
        <v>53.9</v>
      </c>
      <c r="I236" s="287">
        <v>30.31</v>
      </c>
      <c r="J236" s="268">
        <v>38.450000000000003</v>
      </c>
      <c r="K236" s="292">
        <v>23.59</v>
      </c>
      <c r="L236" s="268">
        <v>29.93</v>
      </c>
      <c r="M236" s="268">
        <v>68.38</v>
      </c>
      <c r="N236" s="268">
        <v>769</v>
      </c>
      <c r="O236" s="268">
        <v>598.6</v>
      </c>
      <c r="P236" s="268">
        <v>1367.6</v>
      </c>
      <c r="Q236" s="269">
        <v>5.0000000000000001E-4</v>
      </c>
      <c r="R236" s="44"/>
      <c r="S236" s="49">
        <f t="shared" si="3"/>
        <v>1078</v>
      </c>
      <c r="T236" s="126"/>
      <c r="U236" s="48"/>
      <c r="V236" s="48"/>
      <c r="W236" s="48"/>
      <c r="X236" s="48"/>
      <c r="Y236" s="48"/>
      <c r="Z236" s="48"/>
      <c r="AA236" s="48"/>
      <c r="AB236" s="48"/>
      <c r="AC236" s="48"/>
      <c r="AD236" s="48"/>
      <c r="AE236" s="48"/>
      <c r="AF236" s="48"/>
      <c r="AG236" s="48"/>
      <c r="AH236" s="48"/>
      <c r="AI236" s="48"/>
      <c r="AJ236" s="44"/>
      <c r="AK236" s="44"/>
      <c r="AL236" s="44"/>
    </row>
    <row r="237" spans="1:38" ht="27.6" x14ac:dyDescent="0.25">
      <c r="A237" s="94"/>
      <c r="B237" s="265" t="s">
        <v>1586</v>
      </c>
      <c r="C237" s="266" t="s">
        <v>1587</v>
      </c>
      <c r="D237" s="265" t="s">
        <v>199</v>
      </c>
      <c r="E237" s="265" t="s">
        <v>1588</v>
      </c>
      <c r="F237" s="267" t="s">
        <v>44</v>
      </c>
      <c r="G237" s="277">
        <v>8</v>
      </c>
      <c r="H237" s="268">
        <v>112.49</v>
      </c>
      <c r="I237" s="287">
        <v>32.11</v>
      </c>
      <c r="J237" s="268">
        <v>40.74</v>
      </c>
      <c r="K237" s="292">
        <v>80.38</v>
      </c>
      <c r="L237" s="268">
        <v>101.98</v>
      </c>
      <c r="M237" s="268">
        <v>142.72</v>
      </c>
      <c r="N237" s="268">
        <v>325.92</v>
      </c>
      <c r="O237" s="268">
        <v>815.84</v>
      </c>
      <c r="P237" s="268">
        <v>1141.76</v>
      </c>
      <c r="Q237" s="269">
        <v>5.0000000000000001E-4</v>
      </c>
      <c r="R237" s="44"/>
      <c r="S237" s="49">
        <f t="shared" si="3"/>
        <v>899.92</v>
      </c>
      <c r="T237" s="126"/>
      <c r="U237" s="48"/>
      <c r="V237" s="48"/>
      <c r="W237" s="48"/>
      <c r="X237" s="48"/>
      <c r="Y237" s="48"/>
      <c r="Z237" s="48"/>
      <c r="AA237" s="48"/>
      <c r="AB237" s="48"/>
      <c r="AC237" s="48"/>
      <c r="AD237" s="48"/>
      <c r="AE237" s="48"/>
      <c r="AF237" s="48"/>
      <c r="AG237" s="48"/>
      <c r="AH237" s="48"/>
      <c r="AI237" s="48"/>
      <c r="AJ237" s="44"/>
      <c r="AK237" s="44"/>
      <c r="AL237" s="44"/>
    </row>
    <row r="238" spans="1:38" x14ac:dyDescent="0.25">
      <c r="A238" s="94"/>
      <c r="B238" s="265" t="s">
        <v>66</v>
      </c>
      <c r="C238" s="266" t="s">
        <v>757</v>
      </c>
      <c r="D238" s="265" t="s">
        <v>40</v>
      </c>
      <c r="E238" s="265" t="s">
        <v>989</v>
      </c>
      <c r="F238" s="267" t="s">
        <v>65</v>
      </c>
      <c r="G238" s="277">
        <v>41.3</v>
      </c>
      <c r="H238" s="268">
        <v>17.350000000000001</v>
      </c>
      <c r="I238" s="287">
        <v>5.33</v>
      </c>
      <c r="J238" s="268">
        <v>6.76</v>
      </c>
      <c r="K238" s="292">
        <v>12.02</v>
      </c>
      <c r="L238" s="268">
        <v>15.25</v>
      </c>
      <c r="M238" s="268">
        <v>22.01</v>
      </c>
      <c r="N238" s="268">
        <v>279.19</v>
      </c>
      <c r="O238" s="268">
        <v>629.83000000000004</v>
      </c>
      <c r="P238" s="268">
        <v>909.02</v>
      </c>
      <c r="Q238" s="269">
        <v>4.0000000000000002E-4</v>
      </c>
      <c r="R238" s="44"/>
      <c r="S238" s="49">
        <f t="shared" si="3"/>
        <v>716.56</v>
      </c>
      <c r="T238" s="126"/>
      <c r="U238" s="48"/>
      <c r="V238" s="48"/>
      <c r="W238" s="48"/>
      <c r="X238" s="48"/>
      <c r="Y238" s="48"/>
      <c r="Z238" s="48"/>
      <c r="AA238" s="48"/>
      <c r="AB238" s="48"/>
      <c r="AC238" s="48"/>
      <c r="AD238" s="48"/>
      <c r="AE238" s="48"/>
      <c r="AF238" s="48"/>
      <c r="AG238" s="48"/>
      <c r="AH238" s="48"/>
      <c r="AI238" s="48"/>
      <c r="AJ238" s="44"/>
      <c r="AK238" s="44"/>
      <c r="AL238" s="44"/>
    </row>
    <row r="239" spans="1:38" ht="41.4" x14ac:dyDescent="0.25">
      <c r="A239" s="94"/>
      <c r="B239" s="265" t="s">
        <v>815</v>
      </c>
      <c r="C239" s="266" t="s">
        <v>1465</v>
      </c>
      <c r="D239" s="265" t="s">
        <v>40</v>
      </c>
      <c r="E239" s="265" t="s">
        <v>1466</v>
      </c>
      <c r="F239" s="267" t="s">
        <v>41</v>
      </c>
      <c r="G239" s="277">
        <v>4.32</v>
      </c>
      <c r="H239" s="268">
        <v>200.91</v>
      </c>
      <c r="I239" s="287">
        <v>7.95</v>
      </c>
      <c r="J239" s="268">
        <v>10.09</v>
      </c>
      <c r="K239" s="292">
        <v>192.96</v>
      </c>
      <c r="L239" s="268">
        <v>244.81</v>
      </c>
      <c r="M239" s="268">
        <v>254.9</v>
      </c>
      <c r="N239" s="268">
        <v>43.59</v>
      </c>
      <c r="O239" s="268">
        <v>1057.58</v>
      </c>
      <c r="P239" s="268">
        <v>1101.17</v>
      </c>
      <c r="Q239" s="269">
        <v>4.0000000000000002E-4</v>
      </c>
      <c r="R239" s="44"/>
      <c r="S239" s="49">
        <f t="shared" si="3"/>
        <v>867.93</v>
      </c>
      <c r="T239" s="126"/>
      <c r="U239" s="48"/>
      <c r="V239" s="48"/>
      <c r="W239" s="48"/>
      <c r="X239" s="48"/>
      <c r="Y239" s="48"/>
      <c r="Z239" s="48"/>
      <c r="AA239" s="48"/>
      <c r="AB239" s="48"/>
      <c r="AC239" s="48"/>
      <c r="AD239" s="48"/>
      <c r="AE239" s="48"/>
      <c r="AF239" s="48"/>
      <c r="AG239" s="48"/>
      <c r="AH239" s="48"/>
      <c r="AI239" s="48"/>
      <c r="AJ239" s="44"/>
      <c r="AK239" s="44"/>
      <c r="AL239" s="44"/>
    </row>
    <row r="240" spans="1:38" ht="27.6" x14ac:dyDescent="0.25">
      <c r="A240" s="94"/>
      <c r="B240" s="265" t="s">
        <v>1038</v>
      </c>
      <c r="C240" s="266" t="s">
        <v>962</v>
      </c>
      <c r="D240" s="265" t="s">
        <v>40</v>
      </c>
      <c r="E240" s="265" t="s">
        <v>963</v>
      </c>
      <c r="F240" s="267" t="s">
        <v>44</v>
      </c>
      <c r="G240" s="277">
        <v>3</v>
      </c>
      <c r="H240" s="268">
        <v>241.43</v>
      </c>
      <c r="I240" s="287">
        <v>25.12</v>
      </c>
      <c r="J240" s="268">
        <v>31.87</v>
      </c>
      <c r="K240" s="292">
        <v>216.31</v>
      </c>
      <c r="L240" s="268">
        <v>274.43</v>
      </c>
      <c r="M240" s="268">
        <v>306.3</v>
      </c>
      <c r="N240" s="268">
        <v>95.61</v>
      </c>
      <c r="O240" s="268">
        <v>823.29</v>
      </c>
      <c r="P240" s="268">
        <v>918.9</v>
      </c>
      <c r="Q240" s="269">
        <v>4.0000000000000002E-4</v>
      </c>
      <c r="R240" s="44"/>
      <c r="S240" s="49">
        <f t="shared" si="3"/>
        <v>724.29</v>
      </c>
      <c r="T240" s="126"/>
      <c r="U240" s="48"/>
      <c r="V240" s="48"/>
      <c r="W240" s="48"/>
      <c r="X240" s="48"/>
      <c r="Y240" s="48"/>
      <c r="Z240" s="48"/>
      <c r="AA240" s="48"/>
      <c r="AB240" s="48"/>
      <c r="AC240" s="48"/>
      <c r="AD240" s="48"/>
      <c r="AE240" s="48"/>
      <c r="AF240" s="48"/>
      <c r="AG240" s="48"/>
      <c r="AH240" s="48"/>
      <c r="AI240" s="48"/>
      <c r="AJ240" s="44"/>
      <c r="AK240" s="44"/>
      <c r="AL240" s="44"/>
    </row>
    <row r="241" spans="1:38" ht="27.6" x14ac:dyDescent="0.25">
      <c r="A241" s="94"/>
      <c r="B241" s="265" t="s">
        <v>1265</v>
      </c>
      <c r="C241" s="266" t="s">
        <v>660</v>
      </c>
      <c r="D241" s="265" t="s">
        <v>199</v>
      </c>
      <c r="E241" s="265" t="s">
        <v>769</v>
      </c>
      <c r="F241" s="267" t="s">
        <v>240</v>
      </c>
      <c r="G241" s="277">
        <v>22.8</v>
      </c>
      <c r="H241" s="268">
        <v>34.200000000000003</v>
      </c>
      <c r="I241" s="287">
        <v>22.83</v>
      </c>
      <c r="J241" s="268">
        <v>28.96</v>
      </c>
      <c r="K241" s="292">
        <v>11.37</v>
      </c>
      <c r="L241" s="268">
        <v>14.43</v>
      </c>
      <c r="M241" s="268">
        <v>43.39</v>
      </c>
      <c r="N241" s="268">
        <v>660.29</v>
      </c>
      <c r="O241" s="268">
        <v>329</v>
      </c>
      <c r="P241" s="268">
        <v>989.29</v>
      </c>
      <c r="Q241" s="269">
        <v>4.0000000000000002E-4</v>
      </c>
      <c r="R241" s="44"/>
      <c r="S241" s="49">
        <f t="shared" si="3"/>
        <v>779.76</v>
      </c>
      <c r="T241" s="126"/>
      <c r="U241" s="48"/>
      <c r="V241" s="48"/>
      <c r="W241" s="48"/>
      <c r="X241" s="48"/>
      <c r="Y241" s="48"/>
      <c r="Z241" s="48"/>
      <c r="AA241" s="48"/>
      <c r="AB241" s="48"/>
      <c r="AC241" s="48"/>
      <c r="AD241" s="48"/>
      <c r="AE241" s="48"/>
      <c r="AF241" s="48"/>
      <c r="AG241" s="48"/>
      <c r="AH241" s="48"/>
      <c r="AI241" s="48"/>
      <c r="AJ241" s="44"/>
      <c r="AK241" s="44"/>
      <c r="AL241" s="44"/>
    </row>
    <row r="242" spans="1:38" ht="27.6" x14ac:dyDescent="0.25">
      <c r="A242" s="94"/>
      <c r="B242" s="265" t="s">
        <v>1290</v>
      </c>
      <c r="C242" s="266" t="s">
        <v>191</v>
      </c>
      <c r="D242" s="265" t="s">
        <v>40</v>
      </c>
      <c r="E242" s="265" t="s">
        <v>192</v>
      </c>
      <c r="F242" s="267" t="s">
        <v>44</v>
      </c>
      <c r="G242" s="277">
        <v>59</v>
      </c>
      <c r="H242" s="268">
        <v>14.21</v>
      </c>
      <c r="I242" s="287">
        <v>4.5599999999999996</v>
      </c>
      <c r="J242" s="268">
        <v>5.79</v>
      </c>
      <c r="K242" s="292">
        <v>9.65</v>
      </c>
      <c r="L242" s="268">
        <v>12.24</v>
      </c>
      <c r="M242" s="268">
        <v>18.03</v>
      </c>
      <c r="N242" s="268">
        <v>341.61</v>
      </c>
      <c r="O242" s="268">
        <v>722.16</v>
      </c>
      <c r="P242" s="268">
        <v>1063.77</v>
      </c>
      <c r="Q242" s="269">
        <v>4.0000000000000002E-4</v>
      </c>
      <c r="R242" s="44"/>
      <c r="S242" s="49">
        <f t="shared" si="3"/>
        <v>838.39</v>
      </c>
      <c r="T242" s="126"/>
      <c r="U242" s="48"/>
      <c r="V242" s="48"/>
      <c r="W242" s="48"/>
      <c r="X242" s="48"/>
      <c r="Y242" s="48"/>
      <c r="Z242" s="48"/>
      <c r="AA242" s="48"/>
      <c r="AB242" s="48"/>
      <c r="AC242" s="48"/>
      <c r="AD242" s="48"/>
      <c r="AE242" s="48"/>
      <c r="AF242" s="48"/>
      <c r="AG242" s="48"/>
      <c r="AH242" s="48"/>
      <c r="AI242" s="48"/>
      <c r="AJ242" s="44"/>
      <c r="AK242" s="44"/>
      <c r="AL242" s="44"/>
    </row>
    <row r="243" spans="1:38" x14ac:dyDescent="0.25">
      <c r="A243" s="94"/>
      <c r="B243" s="265" t="s">
        <v>1068</v>
      </c>
      <c r="C243" s="266" t="s">
        <v>686</v>
      </c>
      <c r="D243" s="265" t="s">
        <v>51</v>
      </c>
      <c r="E243" s="265" t="s">
        <v>687</v>
      </c>
      <c r="F243" s="267" t="s">
        <v>55</v>
      </c>
      <c r="G243" s="277">
        <v>67</v>
      </c>
      <c r="H243" s="268">
        <v>12.56</v>
      </c>
      <c r="I243" s="287">
        <v>9</v>
      </c>
      <c r="J243" s="268">
        <v>11.42</v>
      </c>
      <c r="K243" s="292">
        <v>3.56</v>
      </c>
      <c r="L243" s="268">
        <v>4.5199999999999996</v>
      </c>
      <c r="M243" s="268">
        <v>15.94</v>
      </c>
      <c r="N243" s="268">
        <v>765.14</v>
      </c>
      <c r="O243" s="268">
        <v>302.83999999999997</v>
      </c>
      <c r="P243" s="268">
        <v>1067.98</v>
      </c>
      <c r="Q243" s="269">
        <v>4.0000000000000002E-4</v>
      </c>
      <c r="R243" s="44"/>
      <c r="S243" s="49">
        <f t="shared" si="3"/>
        <v>841.52</v>
      </c>
      <c r="T243" s="126"/>
      <c r="U243" s="48"/>
      <c r="V243" s="48"/>
      <c r="W243" s="48"/>
      <c r="X243" s="48"/>
      <c r="Y243" s="48"/>
      <c r="Z243" s="48"/>
      <c r="AA243" s="48"/>
      <c r="AB243" s="48"/>
      <c r="AC243" s="48"/>
      <c r="AD243" s="48"/>
      <c r="AE243" s="48"/>
      <c r="AF243" s="48"/>
      <c r="AG243" s="48"/>
      <c r="AH243" s="48"/>
      <c r="AI243" s="48"/>
      <c r="AJ243" s="44"/>
      <c r="AK243" s="44"/>
      <c r="AL243" s="44"/>
    </row>
    <row r="244" spans="1:38" ht="27.6" x14ac:dyDescent="0.25">
      <c r="A244" s="94"/>
      <c r="B244" s="265" t="s">
        <v>1074</v>
      </c>
      <c r="C244" s="266" t="s">
        <v>1508</v>
      </c>
      <c r="D244" s="265" t="s">
        <v>40</v>
      </c>
      <c r="E244" s="265" t="s">
        <v>1509</v>
      </c>
      <c r="F244" s="267" t="s">
        <v>55</v>
      </c>
      <c r="G244" s="277">
        <v>30.1</v>
      </c>
      <c r="H244" s="268">
        <v>24.07</v>
      </c>
      <c r="I244" s="287">
        <v>3.85</v>
      </c>
      <c r="J244" s="268">
        <v>4.88</v>
      </c>
      <c r="K244" s="292">
        <v>20.22</v>
      </c>
      <c r="L244" s="268">
        <v>25.65</v>
      </c>
      <c r="M244" s="268">
        <v>30.53</v>
      </c>
      <c r="N244" s="268">
        <v>146.88999999999999</v>
      </c>
      <c r="O244" s="268">
        <v>772.07</v>
      </c>
      <c r="P244" s="268">
        <v>918.96</v>
      </c>
      <c r="Q244" s="269">
        <v>4.0000000000000002E-4</v>
      </c>
      <c r="R244" s="44"/>
      <c r="S244" s="49">
        <f t="shared" si="3"/>
        <v>724.51</v>
      </c>
      <c r="T244" s="126"/>
      <c r="U244" s="48"/>
      <c r="V244" s="48"/>
      <c r="W244" s="48"/>
      <c r="X244" s="48"/>
      <c r="Y244" s="48"/>
      <c r="Z244" s="48"/>
      <c r="AA244" s="48"/>
      <c r="AB244" s="48"/>
      <c r="AC244" s="48"/>
      <c r="AD244" s="48"/>
      <c r="AE244" s="48"/>
      <c r="AF244" s="48"/>
      <c r="AG244" s="48"/>
      <c r="AH244" s="48"/>
      <c r="AI244" s="48"/>
      <c r="AJ244" s="44"/>
      <c r="AK244" s="44"/>
      <c r="AL244" s="44"/>
    </row>
    <row r="245" spans="1:38" x14ac:dyDescent="0.25">
      <c r="A245" s="94"/>
      <c r="B245" s="265" t="s">
        <v>1082</v>
      </c>
      <c r="C245" s="266" t="s">
        <v>688</v>
      </c>
      <c r="D245" s="265" t="s">
        <v>51</v>
      </c>
      <c r="E245" s="265" t="s">
        <v>689</v>
      </c>
      <c r="F245" s="267" t="s">
        <v>44</v>
      </c>
      <c r="G245" s="277">
        <v>4</v>
      </c>
      <c r="H245" s="268">
        <v>209.66</v>
      </c>
      <c r="I245" s="287">
        <v>45.49</v>
      </c>
      <c r="J245" s="268">
        <v>57.71</v>
      </c>
      <c r="K245" s="292">
        <v>164.17</v>
      </c>
      <c r="L245" s="268">
        <v>208.28</v>
      </c>
      <c r="M245" s="268">
        <v>265.99</v>
      </c>
      <c r="N245" s="268">
        <v>230.84</v>
      </c>
      <c r="O245" s="268">
        <v>833.12</v>
      </c>
      <c r="P245" s="268">
        <v>1063.96</v>
      </c>
      <c r="Q245" s="269">
        <v>4.0000000000000002E-4</v>
      </c>
      <c r="R245" s="44"/>
      <c r="S245" s="49">
        <f t="shared" si="3"/>
        <v>838.64</v>
      </c>
      <c r="T245" s="126"/>
      <c r="U245" s="48"/>
      <c r="V245" s="48"/>
      <c r="W245" s="48"/>
      <c r="X245" s="48"/>
      <c r="Y245" s="48"/>
      <c r="Z245" s="48"/>
      <c r="AA245" s="48"/>
      <c r="AB245" s="48"/>
      <c r="AC245" s="48"/>
      <c r="AD245" s="48"/>
      <c r="AE245" s="48"/>
      <c r="AF245" s="48"/>
      <c r="AG245" s="48"/>
      <c r="AH245" s="48"/>
      <c r="AI245" s="48"/>
      <c r="AJ245" s="44"/>
      <c r="AK245" s="44"/>
      <c r="AL245" s="44"/>
    </row>
    <row r="246" spans="1:38" x14ac:dyDescent="0.25">
      <c r="A246" s="94"/>
      <c r="B246" s="265" t="s">
        <v>1567</v>
      </c>
      <c r="C246" s="266" t="s">
        <v>1568</v>
      </c>
      <c r="D246" s="265" t="s">
        <v>146</v>
      </c>
      <c r="E246" s="265" t="s">
        <v>1569</v>
      </c>
      <c r="F246" s="267" t="s">
        <v>168</v>
      </c>
      <c r="G246" s="277">
        <v>1</v>
      </c>
      <c r="H246" s="268">
        <v>727.68</v>
      </c>
      <c r="I246" s="287">
        <v>194.06</v>
      </c>
      <c r="J246" s="268">
        <v>246.2</v>
      </c>
      <c r="K246" s="292">
        <v>533.62</v>
      </c>
      <c r="L246" s="268">
        <v>677</v>
      </c>
      <c r="M246" s="268">
        <v>923.2</v>
      </c>
      <c r="N246" s="268">
        <v>246.2</v>
      </c>
      <c r="O246" s="268">
        <v>677</v>
      </c>
      <c r="P246" s="268">
        <v>923.2</v>
      </c>
      <c r="Q246" s="269">
        <v>4.0000000000000002E-4</v>
      </c>
      <c r="R246" s="44"/>
      <c r="S246" s="49">
        <f t="shared" si="3"/>
        <v>727.68</v>
      </c>
      <c r="T246" s="126"/>
      <c r="U246" s="48"/>
      <c r="V246" s="48"/>
      <c r="W246" s="48"/>
      <c r="X246" s="48"/>
      <c r="Y246" s="48"/>
      <c r="Z246" s="48"/>
      <c r="AA246" s="48"/>
      <c r="AB246" s="48"/>
      <c r="AC246" s="48"/>
      <c r="AD246" s="48"/>
      <c r="AE246" s="48"/>
      <c r="AF246" s="48"/>
      <c r="AG246" s="48"/>
      <c r="AH246" s="48"/>
      <c r="AI246" s="48"/>
      <c r="AJ246" s="44"/>
      <c r="AK246" s="44"/>
      <c r="AL246" s="44"/>
    </row>
    <row r="247" spans="1:38" ht="27.6" x14ac:dyDescent="0.25">
      <c r="A247" s="94"/>
      <c r="B247" s="265" t="s">
        <v>1573</v>
      </c>
      <c r="C247" s="266" t="s">
        <v>1574</v>
      </c>
      <c r="D247" s="265" t="s">
        <v>199</v>
      </c>
      <c r="E247" s="265" t="s">
        <v>1575</v>
      </c>
      <c r="F247" s="267" t="s">
        <v>168</v>
      </c>
      <c r="G247" s="277">
        <v>1</v>
      </c>
      <c r="H247" s="268">
        <v>844.46</v>
      </c>
      <c r="I247" s="287">
        <v>136.52000000000001</v>
      </c>
      <c r="J247" s="268">
        <v>173.2</v>
      </c>
      <c r="K247" s="292">
        <v>707.94</v>
      </c>
      <c r="L247" s="268">
        <v>898.16</v>
      </c>
      <c r="M247" s="268">
        <v>1071.3599999999999</v>
      </c>
      <c r="N247" s="268">
        <v>173.2</v>
      </c>
      <c r="O247" s="268">
        <v>898.16</v>
      </c>
      <c r="P247" s="268">
        <v>1071.3599999999999</v>
      </c>
      <c r="Q247" s="269">
        <v>4.0000000000000002E-4</v>
      </c>
      <c r="R247" s="44"/>
      <c r="S247" s="49">
        <f t="shared" si="3"/>
        <v>844.46</v>
      </c>
      <c r="T247" s="126"/>
      <c r="U247" s="48"/>
      <c r="V247" s="48"/>
      <c r="W247" s="48"/>
      <c r="X247" s="48"/>
      <c r="Y247" s="48"/>
      <c r="Z247" s="48"/>
      <c r="AA247" s="48"/>
      <c r="AB247" s="48"/>
      <c r="AC247" s="48"/>
      <c r="AD247" s="48"/>
      <c r="AE247" s="48"/>
      <c r="AF247" s="48"/>
      <c r="AG247" s="48"/>
      <c r="AH247" s="48"/>
      <c r="AI247" s="48"/>
      <c r="AJ247" s="44"/>
      <c r="AK247" s="44"/>
      <c r="AL247" s="44"/>
    </row>
    <row r="248" spans="1:38" x14ac:dyDescent="0.25">
      <c r="A248" s="94"/>
      <c r="B248" s="265" t="s">
        <v>1585</v>
      </c>
      <c r="C248" s="266" t="s">
        <v>688</v>
      </c>
      <c r="D248" s="265" t="s">
        <v>51</v>
      </c>
      <c r="E248" s="265" t="s">
        <v>689</v>
      </c>
      <c r="F248" s="267" t="s">
        <v>44</v>
      </c>
      <c r="G248" s="277">
        <v>4</v>
      </c>
      <c r="H248" s="268">
        <v>209.66</v>
      </c>
      <c r="I248" s="287">
        <v>45.49</v>
      </c>
      <c r="J248" s="268">
        <v>57.71</v>
      </c>
      <c r="K248" s="292">
        <v>164.17</v>
      </c>
      <c r="L248" s="268">
        <v>208.28</v>
      </c>
      <c r="M248" s="268">
        <v>265.99</v>
      </c>
      <c r="N248" s="268">
        <v>230.84</v>
      </c>
      <c r="O248" s="268">
        <v>833.12</v>
      </c>
      <c r="P248" s="268">
        <v>1063.96</v>
      </c>
      <c r="Q248" s="269">
        <v>4.0000000000000002E-4</v>
      </c>
      <c r="R248" s="44"/>
      <c r="S248" s="49">
        <f t="shared" si="3"/>
        <v>838.64</v>
      </c>
      <c r="T248" s="126"/>
      <c r="U248" s="48"/>
      <c r="V248" s="48"/>
      <c r="W248" s="48"/>
      <c r="X248" s="48"/>
      <c r="Y248" s="48"/>
      <c r="Z248" s="48"/>
      <c r="AA248" s="48"/>
      <c r="AB248" s="48"/>
      <c r="AC248" s="48"/>
      <c r="AD248" s="48"/>
      <c r="AE248" s="48"/>
      <c r="AF248" s="48"/>
      <c r="AG248" s="48"/>
      <c r="AH248" s="48"/>
      <c r="AI248" s="48"/>
      <c r="AJ248" s="44"/>
      <c r="AK248" s="44"/>
      <c r="AL248" s="44"/>
    </row>
    <row r="249" spans="1:38" x14ac:dyDescent="0.25">
      <c r="A249" s="94"/>
      <c r="B249" s="265" t="s">
        <v>1115</v>
      </c>
      <c r="C249" s="266" t="s">
        <v>731</v>
      </c>
      <c r="D249" s="265" t="s">
        <v>40</v>
      </c>
      <c r="E249" s="265" t="s">
        <v>732</v>
      </c>
      <c r="F249" s="267" t="s">
        <v>44</v>
      </c>
      <c r="G249" s="277">
        <v>31</v>
      </c>
      <c r="H249" s="268">
        <v>26.5</v>
      </c>
      <c r="I249" s="287">
        <v>6.44</v>
      </c>
      <c r="J249" s="268">
        <v>8.17</v>
      </c>
      <c r="K249" s="292">
        <v>20.059999999999999</v>
      </c>
      <c r="L249" s="268">
        <v>25.45</v>
      </c>
      <c r="M249" s="268">
        <v>33.619999999999997</v>
      </c>
      <c r="N249" s="268">
        <v>253.27</v>
      </c>
      <c r="O249" s="268">
        <v>788.95</v>
      </c>
      <c r="P249" s="268">
        <v>1042.22</v>
      </c>
      <c r="Q249" s="269">
        <v>4.0000000000000002E-4</v>
      </c>
      <c r="R249" s="44"/>
      <c r="S249" s="49">
        <f t="shared" si="3"/>
        <v>821.5</v>
      </c>
      <c r="T249" s="126"/>
      <c r="U249" s="48"/>
      <c r="V249" s="48"/>
      <c r="W249" s="48"/>
      <c r="X249" s="48"/>
      <c r="Y249" s="48"/>
      <c r="Z249" s="48"/>
      <c r="AA249" s="48"/>
      <c r="AB249" s="48"/>
      <c r="AC249" s="48"/>
      <c r="AD249" s="48"/>
      <c r="AE249" s="48"/>
      <c r="AF249" s="48"/>
      <c r="AG249" s="48"/>
      <c r="AH249" s="48"/>
      <c r="AI249" s="48"/>
      <c r="AJ249" s="44"/>
      <c r="AK249" s="44"/>
      <c r="AL249" s="44"/>
    </row>
    <row r="250" spans="1:38" ht="27.6" x14ac:dyDescent="0.25">
      <c r="A250" s="94"/>
      <c r="B250" s="265" t="s">
        <v>1118</v>
      </c>
      <c r="C250" s="266" t="s">
        <v>733</v>
      </c>
      <c r="D250" s="265" t="s">
        <v>40</v>
      </c>
      <c r="E250" s="265" t="s">
        <v>734</v>
      </c>
      <c r="F250" s="267" t="s">
        <v>44</v>
      </c>
      <c r="G250" s="277">
        <v>14</v>
      </c>
      <c r="H250" s="268">
        <v>55.04</v>
      </c>
      <c r="I250" s="287">
        <v>25.27</v>
      </c>
      <c r="J250" s="268">
        <v>32.06</v>
      </c>
      <c r="K250" s="292">
        <v>29.77</v>
      </c>
      <c r="L250" s="268">
        <v>37.770000000000003</v>
      </c>
      <c r="M250" s="268">
        <v>69.83</v>
      </c>
      <c r="N250" s="268">
        <v>448.84</v>
      </c>
      <c r="O250" s="268">
        <v>528.78</v>
      </c>
      <c r="P250" s="268">
        <v>977.62</v>
      </c>
      <c r="Q250" s="269">
        <v>4.0000000000000002E-4</v>
      </c>
      <c r="R250" s="44"/>
      <c r="S250" s="49">
        <f t="shared" si="3"/>
        <v>770.56</v>
      </c>
      <c r="T250" s="126"/>
      <c r="U250" s="48"/>
      <c r="V250" s="48"/>
      <c r="W250" s="48"/>
      <c r="X250" s="48"/>
      <c r="Y250" s="48"/>
      <c r="Z250" s="48"/>
      <c r="AA250" s="48"/>
      <c r="AB250" s="48"/>
      <c r="AC250" s="48"/>
      <c r="AD250" s="48"/>
      <c r="AE250" s="48"/>
      <c r="AF250" s="48"/>
      <c r="AG250" s="48"/>
      <c r="AH250" s="48"/>
      <c r="AI250" s="48"/>
      <c r="AJ250" s="44"/>
      <c r="AK250" s="44"/>
      <c r="AL250" s="44"/>
    </row>
    <row r="251" spans="1:38" x14ac:dyDescent="0.25">
      <c r="A251" s="94"/>
      <c r="B251" s="265" t="s">
        <v>283</v>
      </c>
      <c r="C251" s="266" t="s">
        <v>688</v>
      </c>
      <c r="D251" s="265" t="s">
        <v>51</v>
      </c>
      <c r="E251" s="265" t="s">
        <v>689</v>
      </c>
      <c r="F251" s="267" t="s">
        <v>44</v>
      </c>
      <c r="G251" s="277">
        <v>4</v>
      </c>
      <c r="H251" s="268">
        <v>209.66</v>
      </c>
      <c r="I251" s="287">
        <v>45.49</v>
      </c>
      <c r="J251" s="268">
        <v>57.71</v>
      </c>
      <c r="K251" s="292">
        <v>164.17</v>
      </c>
      <c r="L251" s="268">
        <v>208.28</v>
      </c>
      <c r="M251" s="268">
        <v>265.99</v>
      </c>
      <c r="N251" s="268">
        <v>230.84</v>
      </c>
      <c r="O251" s="268">
        <v>833.12</v>
      </c>
      <c r="P251" s="268">
        <v>1063.96</v>
      </c>
      <c r="Q251" s="269">
        <v>4.0000000000000002E-4</v>
      </c>
      <c r="R251" s="44"/>
      <c r="S251" s="49">
        <f t="shared" si="3"/>
        <v>838.64</v>
      </c>
      <c r="T251" s="126"/>
      <c r="U251" s="48"/>
      <c r="V251" s="48"/>
      <c r="W251" s="48"/>
      <c r="X251" s="48"/>
      <c r="Y251" s="48"/>
      <c r="Z251" s="48"/>
      <c r="AA251" s="48"/>
      <c r="AB251" s="48"/>
      <c r="AC251" s="48"/>
      <c r="AD251" s="48"/>
      <c r="AE251" s="48"/>
      <c r="AF251" s="48"/>
      <c r="AG251" s="48"/>
      <c r="AH251" s="48"/>
      <c r="AI251" s="48"/>
      <c r="AJ251" s="44"/>
      <c r="AK251" s="44"/>
      <c r="AL251" s="44"/>
    </row>
    <row r="252" spans="1:38" x14ac:dyDescent="0.25">
      <c r="A252" s="94"/>
      <c r="B252" s="265" t="s">
        <v>1334</v>
      </c>
      <c r="C252" s="266" t="s">
        <v>296</v>
      </c>
      <c r="D252" s="265" t="s">
        <v>40</v>
      </c>
      <c r="E252" s="265" t="s">
        <v>297</v>
      </c>
      <c r="F252" s="267" t="s">
        <v>44</v>
      </c>
      <c r="G252" s="277">
        <v>18</v>
      </c>
      <c r="H252" s="268">
        <v>42.1</v>
      </c>
      <c r="I252" s="287">
        <v>6.97</v>
      </c>
      <c r="J252" s="268">
        <v>8.84</v>
      </c>
      <c r="K252" s="292">
        <v>35.130000000000003</v>
      </c>
      <c r="L252" s="268">
        <v>44.57</v>
      </c>
      <c r="M252" s="268">
        <v>53.41</v>
      </c>
      <c r="N252" s="268">
        <v>159.12</v>
      </c>
      <c r="O252" s="268">
        <v>802.26</v>
      </c>
      <c r="P252" s="268">
        <v>961.38</v>
      </c>
      <c r="Q252" s="269">
        <v>4.0000000000000002E-4</v>
      </c>
      <c r="R252" s="44"/>
      <c r="S252" s="49">
        <f t="shared" si="3"/>
        <v>757.8</v>
      </c>
      <c r="T252" s="126"/>
      <c r="U252" s="48"/>
      <c r="V252" s="48"/>
      <c r="W252" s="48"/>
      <c r="X252" s="48"/>
      <c r="Y252" s="48"/>
      <c r="Z252" s="48"/>
      <c r="AA252" s="48"/>
      <c r="AB252" s="48"/>
      <c r="AC252" s="48"/>
      <c r="AD252" s="48"/>
      <c r="AE252" s="48"/>
      <c r="AF252" s="48"/>
      <c r="AG252" s="48"/>
      <c r="AH252" s="48"/>
      <c r="AI252" s="48"/>
      <c r="AJ252" s="44"/>
      <c r="AK252" s="44"/>
      <c r="AL252" s="44"/>
    </row>
    <row r="253" spans="1:38" ht="27.6" x14ac:dyDescent="0.25">
      <c r="A253" s="94"/>
      <c r="B253" s="265" t="s">
        <v>1336</v>
      </c>
      <c r="C253" s="266" t="s">
        <v>716</v>
      </c>
      <c r="D253" s="265" t="s">
        <v>40</v>
      </c>
      <c r="E253" s="265" t="s">
        <v>717</v>
      </c>
      <c r="F253" s="267" t="s">
        <v>55</v>
      </c>
      <c r="G253" s="277">
        <v>44.8</v>
      </c>
      <c r="H253" s="268">
        <v>19.670000000000002</v>
      </c>
      <c r="I253" s="287">
        <v>5.48</v>
      </c>
      <c r="J253" s="268">
        <v>6.95</v>
      </c>
      <c r="K253" s="292">
        <v>14.19</v>
      </c>
      <c r="L253" s="268">
        <v>18</v>
      </c>
      <c r="M253" s="268">
        <v>24.95</v>
      </c>
      <c r="N253" s="268">
        <v>311.36</v>
      </c>
      <c r="O253" s="268">
        <v>806.4</v>
      </c>
      <c r="P253" s="268">
        <v>1117.76</v>
      </c>
      <c r="Q253" s="269">
        <v>4.0000000000000002E-4</v>
      </c>
      <c r="R253" s="44"/>
      <c r="S253" s="49">
        <f t="shared" si="3"/>
        <v>881.22</v>
      </c>
      <c r="T253" s="126"/>
      <c r="U253" s="48"/>
      <c r="V253" s="48"/>
      <c r="W253" s="48"/>
      <c r="X253" s="48"/>
      <c r="Y253" s="48"/>
      <c r="Z253" s="48"/>
      <c r="AA253" s="48"/>
      <c r="AB253" s="48"/>
      <c r="AC253" s="48"/>
      <c r="AD253" s="48"/>
      <c r="AE253" s="48"/>
      <c r="AF253" s="48"/>
      <c r="AG253" s="48"/>
      <c r="AH253" s="48"/>
      <c r="AI253" s="48"/>
      <c r="AJ253" s="44"/>
      <c r="AK253" s="44"/>
      <c r="AL253" s="44"/>
    </row>
    <row r="254" spans="1:38" ht="27.6" x14ac:dyDescent="0.25">
      <c r="A254" s="94"/>
      <c r="B254" s="265" t="s">
        <v>1160</v>
      </c>
      <c r="C254" s="266" t="s">
        <v>305</v>
      </c>
      <c r="D254" s="265" t="s">
        <v>40</v>
      </c>
      <c r="E254" s="265" t="s">
        <v>306</v>
      </c>
      <c r="F254" s="267" t="s">
        <v>44</v>
      </c>
      <c r="G254" s="277">
        <v>50</v>
      </c>
      <c r="H254" s="268">
        <v>15.76</v>
      </c>
      <c r="I254" s="287">
        <v>7.58</v>
      </c>
      <c r="J254" s="268">
        <v>9.6199999999999992</v>
      </c>
      <c r="K254" s="292">
        <v>8.18</v>
      </c>
      <c r="L254" s="268">
        <v>10.38</v>
      </c>
      <c r="M254" s="268">
        <v>20</v>
      </c>
      <c r="N254" s="268">
        <v>481</v>
      </c>
      <c r="O254" s="268">
        <v>519</v>
      </c>
      <c r="P254" s="268">
        <v>1000</v>
      </c>
      <c r="Q254" s="269">
        <v>4.0000000000000002E-4</v>
      </c>
      <c r="R254" s="44"/>
      <c r="S254" s="49">
        <f t="shared" si="3"/>
        <v>788</v>
      </c>
      <c r="T254" s="126"/>
      <c r="U254" s="48"/>
      <c r="V254" s="48"/>
      <c r="W254" s="48"/>
      <c r="X254" s="48"/>
      <c r="Y254" s="48"/>
      <c r="Z254" s="48"/>
      <c r="AA254" s="48"/>
      <c r="AB254" s="48"/>
      <c r="AC254" s="48"/>
      <c r="AD254" s="48"/>
      <c r="AE254" s="48"/>
      <c r="AF254" s="48"/>
      <c r="AG254" s="48"/>
      <c r="AH254" s="48"/>
      <c r="AI254" s="48"/>
      <c r="AJ254" s="44"/>
      <c r="AK254" s="44"/>
      <c r="AL254" s="44"/>
    </row>
    <row r="255" spans="1:38" ht="27.6" x14ac:dyDescent="0.25">
      <c r="A255" s="94"/>
      <c r="B255" s="265" t="s">
        <v>1164</v>
      </c>
      <c r="C255" s="266" t="s">
        <v>863</v>
      </c>
      <c r="D255" s="265" t="s">
        <v>146</v>
      </c>
      <c r="E255" s="265" t="s">
        <v>864</v>
      </c>
      <c r="F255" s="267" t="s">
        <v>168</v>
      </c>
      <c r="G255" s="277">
        <v>1</v>
      </c>
      <c r="H255" s="268">
        <v>867.11</v>
      </c>
      <c r="I255" s="287">
        <v>12.16</v>
      </c>
      <c r="J255" s="268">
        <v>15.43</v>
      </c>
      <c r="K255" s="292">
        <v>854.95</v>
      </c>
      <c r="L255" s="268">
        <v>1084.68</v>
      </c>
      <c r="M255" s="268">
        <v>1100.1099999999999</v>
      </c>
      <c r="N255" s="268">
        <v>15.43</v>
      </c>
      <c r="O255" s="268">
        <v>1084.68</v>
      </c>
      <c r="P255" s="268">
        <v>1100.1099999999999</v>
      </c>
      <c r="Q255" s="269">
        <v>4.0000000000000002E-4</v>
      </c>
      <c r="R255" s="44"/>
      <c r="S255" s="49">
        <f t="shared" si="3"/>
        <v>867.11</v>
      </c>
      <c r="T255" s="126"/>
      <c r="U255" s="48"/>
      <c r="V255" s="48"/>
      <c r="W255" s="48"/>
      <c r="X255" s="48"/>
      <c r="Y255" s="48"/>
      <c r="Z255" s="48"/>
      <c r="AA255" s="48"/>
      <c r="AB255" s="48"/>
      <c r="AC255" s="48"/>
      <c r="AD255" s="48"/>
      <c r="AE255" s="48"/>
      <c r="AF255" s="48"/>
      <c r="AG255" s="48"/>
      <c r="AH255" s="48"/>
      <c r="AI255" s="48"/>
      <c r="AJ255" s="44"/>
      <c r="AK255" s="44"/>
      <c r="AL255" s="44"/>
    </row>
    <row r="256" spans="1:38" ht="41.4" x14ac:dyDescent="0.25">
      <c r="A256" s="94"/>
      <c r="B256" s="265" t="s">
        <v>1165</v>
      </c>
      <c r="C256" s="266" t="s">
        <v>739</v>
      </c>
      <c r="D256" s="265" t="s">
        <v>40</v>
      </c>
      <c r="E256" s="265" t="s">
        <v>740</v>
      </c>
      <c r="F256" s="267" t="s">
        <v>55</v>
      </c>
      <c r="G256" s="277">
        <v>40</v>
      </c>
      <c r="H256" s="268">
        <v>18.649999999999999</v>
      </c>
      <c r="I256" s="287">
        <v>6.06</v>
      </c>
      <c r="J256" s="268">
        <v>7.69</v>
      </c>
      <c r="K256" s="292">
        <v>12.59</v>
      </c>
      <c r="L256" s="268">
        <v>15.97</v>
      </c>
      <c r="M256" s="268">
        <v>23.66</v>
      </c>
      <c r="N256" s="268">
        <v>307.60000000000002</v>
      </c>
      <c r="O256" s="268">
        <v>638.79999999999995</v>
      </c>
      <c r="P256" s="268">
        <v>946.4</v>
      </c>
      <c r="Q256" s="269">
        <v>4.0000000000000002E-4</v>
      </c>
      <c r="R256" s="44"/>
      <c r="S256" s="49">
        <f t="shared" si="3"/>
        <v>746</v>
      </c>
      <c r="T256" s="126"/>
      <c r="U256" s="48"/>
      <c r="V256" s="48"/>
      <c r="W256" s="48"/>
      <c r="X256" s="48"/>
      <c r="Y256" s="48"/>
      <c r="Z256" s="48"/>
      <c r="AA256" s="48"/>
      <c r="AB256" s="48"/>
      <c r="AC256" s="48"/>
      <c r="AD256" s="48"/>
      <c r="AE256" s="48"/>
      <c r="AF256" s="48"/>
      <c r="AG256" s="48"/>
      <c r="AH256" s="48"/>
      <c r="AI256" s="48"/>
      <c r="AJ256" s="44"/>
      <c r="AK256" s="44"/>
      <c r="AL256" s="44"/>
    </row>
    <row r="257" spans="1:38" ht="27.6" x14ac:dyDescent="0.25">
      <c r="A257" s="94"/>
      <c r="B257" s="265" t="s">
        <v>507</v>
      </c>
      <c r="C257" s="266" t="s">
        <v>43</v>
      </c>
      <c r="D257" s="265" t="s">
        <v>40</v>
      </c>
      <c r="E257" s="265" t="s">
        <v>984</v>
      </c>
      <c r="F257" s="267" t="s">
        <v>44</v>
      </c>
      <c r="G257" s="277">
        <v>1</v>
      </c>
      <c r="H257" s="268">
        <v>536.72</v>
      </c>
      <c r="I257" s="287">
        <v>54.44</v>
      </c>
      <c r="J257" s="268">
        <v>69.069999999999993</v>
      </c>
      <c r="K257" s="292">
        <v>482.28</v>
      </c>
      <c r="L257" s="268">
        <v>611.87</v>
      </c>
      <c r="M257" s="268">
        <v>680.94</v>
      </c>
      <c r="N257" s="268">
        <v>69.069999999999993</v>
      </c>
      <c r="O257" s="268">
        <v>611.87</v>
      </c>
      <c r="P257" s="268">
        <v>680.94</v>
      </c>
      <c r="Q257" s="269">
        <v>2.9999999999999997E-4</v>
      </c>
      <c r="R257" s="44"/>
      <c r="S257" s="49">
        <f t="shared" si="3"/>
        <v>536.72</v>
      </c>
      <c r="T257" s="126"/>
      <c r="U257" s="48"/>
      <c r="V257" s="48"/>
      <c r="W257" s="48"/>
      <c r="X257" s="48"/>
      <c r="Y257" s="48"/>
      <c r="Z257" s="48"/>
      <c r="AA257" s="48"/>
      <c r="AB257" s="48"/>
      <c r="AC257" s="48"/>
      <c r="AD257" s="48"/>
      <c r="AE257" s="48"/>
      <c r="AF257" s="48"/>
      <c r="AG257" s="48"/>
      <c r="AH257" s="48"/>
      <c r="AI257" s="48"/>
      <c r="AJ257" s="44"/>
      <c r="AK257" s="44"/>
      <c r="AL257" s="44"/>
    </row>
    <row r="258" spans="1:38" ht="27.6" x14ac:dyDescent="0.25">
      <c r="A258" s="94"/>
      <c r="B258" s="265" t="s">
        <v>521</v>
      </c>
      <c r="C258" s="266" t="s">
        <v>1194</v>
      </c>
      <c r="D258" s="265" t="s">
        <v>40</v>
      </c>
      <c r="E258" s="265" t="s">
        <v>1195</v>
      </c>
      <c r="F258" s="267" t="s">
        <v>41</v>
      </c>
      <c r="G258" s="277">
        <v>11.17</v>
      </c>
      <c r="H258" s="268">
        <v>50.79</v>
      </c>
      <c r="I258" s="287">
        <v>15.81</v>
      </c>
      <c r="J258" s="268">
        <v>20.059999999999999</v>
      </c>
      <c r="K258" s="292">
        <v>34.979999999999997</v>
      </c>
      <c r="L258" s="268">
        <v>44.38</v>
      </c>
      <c r="M258" s="268">
        <v>64.44</v>
      </c>
      <c r="N258" s="268">
        <v>224.07</v>
      </c>
      <c r="O258" s="268">
        <v>495.72</v>
      </c>
      <c r="P258" s="268">
        <v>719.79</v>
      </c>
      <c r="Q258" s="269">
        <v>2.9999999999999997E-4</v>
      </c>
      <c r="R258" s="44"/>
      <c r="S258" s="49">
        <f t="shared" si="3"/>
        <v>567.32000000000005</v>
      </c>
      <c r="T258" s="126"/>
      <c r="U258" s="48"/>
      <c r="V258" s="48"/>
      <c r="W258" s="48"/>
      <c r="X258" s="48"/>
      <c r="Y258" s="48"/>
      <c r="Z258" s="48"/>
      <c r="AA258" s="48"/>
      <c r="AB258" s="48"/>
      <c r="AC258" s="48"/>
      <c r="AD258" s="48"/>
      <c r="AE258" s="48"/>
      <c r="AF258" s="48"/>
      <c r="AG258" s="48"/>
      <c r="AH258" s="48"/>
      <c r="AI258" s="48"/>
      <c r="AJ258" s="44"/>
      <c r="AK258" s="44"/>
      <c r="AL258" s="44"/>
    </row>
    <row r="259" spans="1:38" x14ac:dyDescent="0.25">
      <c r="A259" s="94"/>
      <c r="B259" s="265" t="s">
        <v>820</v>
      </c>
      <c r="C259" s="266" t="s">
        <v>266</v>
      </c>
      <c r="D259" s="265" t="s">
        <v>146</v>
      </c>
      <c r="E259" s="265" t="s">
        <v>267</v>
      </c>
      <c r="F259" s="267" t="s">
        <v>168</v>
      </c>
      <c r="G259" s="277">
        <v>6</v>
      </c>
      <c r="H259" s="268">
        <v>111.78</v>
      </c>
      <c r="I259" s="287">
        <v>6.88</v>
      </c>
      <c r="J259" s="268">
        <v>8.73</v>
      </c>
      <c r="K259" s="292">
        <v>104.9</v>
      </c>
      <c r="L259" s="268">
        <v>133.09</v>
      </c>
      <c r="M259" s="268">
        <v>141.82</v>
      </c>
      <c r="N259" s="268">
        <v>52.38</v>
      </c>
      <c r="O259" s="268">
        <v>798.54</v>
      </c>
      <c r="P259" s="268">
        <v>850.92</v>
      </c>
      <c r="Q259" s="269">
        <v>2.9999999999999997E-4</v>
      </c>
      <c r="R259" s="44"/>
      <c r="S259" s="49">
        <f t="shared" si="3"/>
        <v>670.68</v>
      </c>
      <c r="T259" s="126"/>
      <c r="U259" s="48"/>
      <c r="V259" s="48"/>
      <c r="W259" s="48"/>
      <c r="X259" s="48"/>
      <c r="Y259" s="48"/>
      <c r="Z259" s="48"/>
      <c r="AA259" s="48"/>
      <c r="AB259" s="48"/>
      <c r="AC259" s="48"/>
      <c r="AD259" s="48"/>
      <c r="AE259" s="48"/>
      <c r="AF259" s="48"/>
      <c r="AG259" s="48"/>
      <c r="AH259" s="48"/>
      <c r="AI259" s="48"/>
      <c r="AJ259" s="44"/>
      <c r="AK259" s="44"/>
      <c r="AL259" s="44"/>
    </row>
    <row r="260" spans="1:38" ht="27.6" x14ac:dyDescent="0.25">
      <c r="A260" s="94"/>
      <c r="B260" s="265" t="s">
        <v>1037</v>
      </c>
      <c r="C260" s="266" t="s">
        <v>583</v>
      </c>
      <c r="D260" s="265" t="s">
        <v>584</v>
      </c>
      <c r="E260" s="265" t="s">
        <v>762</v>
      </c>
      <c r="F260" s="267" t="s">
        <v>585</v>
      </c>
      <c r="G260" s="277">
        <v>1</v>
      </c>
      <c r="H260" s="268">
        <v>553.70000000000005</v>
      </c>
      <c r="I260" s="287">
        <v>93.28</v>
      </c>
      <c r="J260" s="268">
        <v>118.34</v>
      </c>
      <c r="K260" s="292">
        <v>460.42</v>
      </c>
      <c r="L260" s="268">
        <v>584.13</v>
      </c>
      <c r="M260" s="268">
        <v>702.47</v>
      </c>
      <c r="N260" s="268">
        <v>118.34</v>
      </c>
      <c r="O260" s="268">
        <v>584.13</v>
      </c>
      <c r="P260" s="268">
        <v>702.47</v>
      </c>
      <c r="Q260" s="269">
        <v>2.9999999999999997E-4</v>
      </c>
      <c r="R260" s="44"/>
      <c r="S260" s="49">
        <f t="shared" si="3"/>
        <v>553.70000000000005</v>
      </c>
      <c r="T260" s="126"/>
      <c r="U260" s="48"/>
      <c r="V260" s="48"/>
      <c r="W260" s="48"/>
      <c r="X260" s="48"/>
      <c r="Y260" s="48"/>
      <c r="Z260" s="48"/>
      <c r="AA260" s="48"/>
      <c r="AB260" s="48"/>
      <c r="AC260" s="48"/>
      <c r="AD260" s="48"/>
      <c r="AE260" s="48"/>
      <c r="AF260" s="48"/>
      <c r="AG260" s="48"/>
      <c r="AH260" s="48"/>
      <c r="AI260" s="48"/>
      <c r="AJ260" s="44"/>
      <c r="AK260" s="44"/>
      <c r="AL260" s="44"/>
    </row>
    <row r="261" spans="1:38" x14ac:dyDescent="0.25">
      <c r="A261" s="94"/>
      <c r="B261" s="265" t="s">
        <v>1048</v>
      </c>
      <c r="C261" s="266" t="s">
        <v>579</v>
      </c>
      <c r="D261" s="265" t="s">
        <v>199</v>
      </c>
      <c r="E261" s="265" t="s">
        <v>761</v>
      </c>
      <c r="F261" s="267" t="s">
        <v>168</v>
      </c>
      <c r="G261" s="277">
        <v>2</v>
      </c>
      <c r="H261" s="268">
        <v>344.18</v>
      </c>
      <c r="I261" s="287">
        <v>17.41</v>
      </c>
      <c r="J261" s="268">
        <v>22.09</v>
      </c>
      <c r="K261" s="292">
        <v>326.77</v>
      </c>
      <c r="L261" s="268">
        <v>414.57</v>
      </c>
      <c r="M261" s="268">
        <v>436.66</v>
      </c>
      <c r="N261" s="268">
        <v>44.18</v>
      </c>
      <c r="O261" s="268">
        <v>829.14</v>
      </c>
      <c r="P261" s="268">
        <v>873.32</v>
      </c>
      <c r="Q261" s="269">
        <v>2.9999999999999997E-4</v>
      </c>
      <c r="R261" s="44"/>
      <c r="S261" s="49">
        <f t="shared" si="3"/>
        <v>688.36</v>
      </c>
      <c r="T261" s="126"/>
      <c r="U261" s="48"/>
      <c r="V261" s="48"/>
      <c r="W261" s="48"/>
      <c r="X261" s="48"/>
      <c r="Y261" s="48"/>
      <c r="Z261" s="48"/>
      <c r="AA261" s="48"/>
      <c r="AB261" s="48"/>
      <c r="AC261" s="48"/>
      <c r="AD261" s="48"/>
      <c r="AE261" s="48"/>
      <c r="AF261" s="48"/>
      <c r="AG261" s="48"/>
      <c r="AH261" s="48"/>
      <c r="AI261" s="48"/>
      <c r="AJ261" s="44"/>
      <c r="AK261" s="44"/>
      <c r="AL261" s="44"/>
    </row>
    <row r="262" spans="1:38" ht="27.6" x14ac:dyDescent="0.25">
      <c r="A262" s="94"/>
      <c r="B262" s="265" t="s">
        <v>1216</v>
      </c>
      <c r="C262" s="266" t="s">
        <v>626</v>
      </c>
      <c r="D262" s="265" t="s">
        <v>40</v>
      </c>
      <c r="E262" s="265" t="s">
        <v>627</v>
      </c>
      <c r="F262" s="267" t="s">
        <v>44</v>
      </c>
      <c r="G262" s="277">
        <v>86</v>
      </c>
      <c r="H262" s="268">
        <v>6.7</v>
      </c>
      <c r="I262" s="287">
        <v>2.33</v>
      </c>
      <c r="J262" s="268">
        <v>2.96</v>
      </c>
      <c r="K262" s="292">
        <v>4.37</v>
      </c>
      <c r="L262" s="268">
        <v>5.54</v>
      </c>
      <c r="M262" s="268">
        <v>8.5</v>
      </c>
      <c r="N262" s="268">
        <v>254.56</v>
      </c>
      <c r="O262" s="268">
        <v>476.44</v>
      </c>
      <c r="P262" s="268">
        <v>731</v>
      </c>
      <c r="Q262" s="269">
        <v>2.9999999999999997E-4</v>
      </c>
      <c r="R262" s="44"/>
      <c r="S262" s="49">
        <f t="shared" si="3"/>
        <v>576.20000000000005</v>
      </c>
      <c r="T262" s="126"/>
      <c r="U262" s="48"/>
      <c r="V262" s="48"/>
      <c r="W262" s="48"/>
      <c r="X262" s="48"/>
      <c r="Y262" s="48"/>
      <c r="Z262" s="48"/>
      <c r="AA262" s="48"/>
      <c r="AB262" s="48"/>
      <c r="AC262" s="48"/>
      <c r="AD262" s="48"/>
      <c r="AE262" s="48"/>
      <c r="AF262" s="48"/>
      <c r="AG262" s="48"/>
      <c r="AH262" s="48"/>
      <c r="AI262" s="48"/>
      <c r="AJ262" s="44"/>
      <c r="AK262" s="44"/>
      <c r="AL262" s="44"/>
    </row>
    <row r="263" spans="1:38" ht="27.6" x14ac:dyDescent="0.25">
      <c r="A263" s="94"/>
      <c r="B263" s="265" t="s">
        <v>1224</v>
      </c>
      <c r="C263" s="266" t="s">
        <v>159</v>
      </c>
      <c r="D263" s="265" t="s">
        <v>40</v>
      </c>
      <c r="E263" s="265" t="s">
        <v>160</v>
      </c>
      <c r="F263" s="267" t="s">
        <v>44</v>
      </c>
      <c r="G263" s="277">
        <v>55</v>
      </c>
      <c r="H263" s="268">
        <v>11.38</v>
      </c>
      <c r="I263" s="287">
        <v>4.3499999999999996</v>
      </c>
      <c r="J263" s="268">
        <v>5.52</v>
      </c>
      <c r="K263" s="292">
        <v>7.03</v>
      </c>
      <c r="L263" s="268">
        <v>8.92</v>
      </c>
      <c r="M263" s="268">
        <v>14.44</v>
      </c>
      <c r="N263" s="268">
        <v>303.60000000000002</v>
      </c>
      <c r="O263" s="268">
        <v>490.6</v>
      </c>
      <c r="P263" s="268">
        <v>794.2</v>
      </c>
      <c r="Q263" s="269">
        <v>2.9999999999999997E-4</v>
      </c>
      <c r="R263" s="44"/>
      <c r="S263" s="49">
        <f t="shared" si="3"/>
        <v>625.9</v>
      </c>
      <c r="T263" s="126"/>
      <c r="U263" s="48"/>
      <c r="V263" s="48"/>
      <c r="W263" s="48"/>
      <c r="X263" s="48"/>
      <c r="Y263" s="48"/>
      <c r="Z263" s="48"/>
      <c r="AA263" s="48"/>
      <c r="AB263" s="48"/>
      <c r="AC263" s="48"/>
      <c r="AD263" s="48"/>
      <c r="AE263" s="48"/>
      <c r="AF263" s="48"/>
      <c r="AG263" s="48"/>
      <c r="AH263" s="48"/>
      <c r="AI263" s="48"/>
      <c r="AJ263" s="44"/>
      <c r="AK263" s="44"/>
      <c r="AL263" s="44"/>
    </row>
    <row r="264" spans="1:38" ht="27.6" x14ac:dyDescent="0.25">
      <c r="A264" s="94"/>
      <c r="B264" s="265" t="s">
        <v>1248</v>
      </c>
      <c r="C264" s="266" t="s">
        <v>183</v>
      </c>
      <c r="D264" s="265" t="s">
        <v>40</v>
      </c>
      <c r="E264" s="265" t="s">
        <v>184</v>
      </c>
      <c r="F264" s="267" t="s">
        <v>44</v>
      </c>
      <c r="G264" s="277">
        <v>59</v>
      </c>
      <c r="H264" s="268">
        <v>11.47</v>
      </c>
      <c r="I264" s="287">
        <v>4.21</v>
      </c>
      <c r="J264" s="268">
        <v>5.34</v>
      </c>
      <c r="K264" s="292">
        <v>7.26</v>
      </c>
      <c r="L264" s="268">
        <v>9.2100000000000009</v>
      </c>
      <c r="M264" s="268">
        <v>14.55</v>
      </c>
      <c r="N264" s="268">
        <v>315.06</v>
      </c>
      <c r="O264" s="268">
        <v>543.39</v>
      </c>
      <c r="P264" s="268">
        <v>858.45</v>
      </c>
      <c r="Q264" s="269">
        <v>2.9999999999999997E-4</v>
      </c>
      <c r="R264" s="44"/>
      <c r="S264" s="49">
        <f t="shared" si="3"/>
        <v>676.73</v>
      </c>
      <c r="T264" s="85"/>
      <c r="U264" s="48"/>
      <c r="V264" s="48"/>
      <c r="W264" s="48"/>
      <c r="X264" s="48"/>
      <c r="Y264" s="48"/>
      <c r="Z264" s="48"/>
      <c r="AA264" s="48"/>
      <c r="AB264" s="48"/>
      <c r="AC264" s="48"/>
      <c r="AD264" s="48"/>
      <c r="AE264" s="48"/>
      <c r="AF264" s="48"/>
      <c r="AG264" s="48"/>
      <c r="AH264" s="48"/>
      <c r="AI264" s="48"/>
      <c r="AJ264" s="44"/>
      <c r="AK264" s="44"/>
      <c r="AL264" s="44"/>
    </row>
    <row r="265" spans="1:38" ht="27.6" x14ac:dyDescent="0.25">
      <c r="A265" s="94"/>
      <c r="B265" s="265" t="s">
        <v>1279</v>
      </c>
      <c r="C265" s="266">
        <v>89811</v>
      </c>
      <c r="D265" s="265" t="s">
        <v>40</v>
      </c>
      <c r="E265" s="265" t="s">
        <v>612</v>
      </c>
      <c r="F265" s="267" t="s">
        <v>44</v>
      </c>
      <c r="G265" s="277">
        <v>13</v>
      </c>
      <c r="H265" s="268">
        <v>41.09</v>
      </c>
      <c r="I265" s="287">
        <v>7.19</v>
      </c>
      <c r="J265" s="268">
        <v>9.1199999999999992</v>
      </c>
      <c r="K265" s="292">
        <v>33.9</v>
      </c>
      <c r="L265" s="268">
        <v>43.01</v>
      </c>
      <c r="M265" s="268">
        <v>52.13</v>
      </c>
      <c r="N265" s="268">
        <v>118.56</v>
      </c>
      <c r="O265" s="268">
        <v>559.13</v>
      </c>
      <c r="P265" s="268">
        <v>677.69</v>
      </c>
      <c r="Q265" s="269">
        <v>2.9999999999999997E-4</v>
      </c>
      <c r="R265" s="44"/>
      <c r="S265" s="49">
        <f t="shared" si="3"/>
        <v>534.16999999999996</v>
      </c>
      <c r="T265" s="85"/>
      <c r="U265" s="48"/>
      <c r="V265" s="48"/>
      <c r="W265" s="48"/>
      <c r="X265" s="48"/>
      <c r="Y265" s="48"/>
      <c r="Z265" s="48"/>
      <c r="AA265" s="48"/>
      <c r="AB265" s="48"/>
      <c r="AC265" s="48"/>
      <c r="AD265" s="48"/>
      <c r="AE265" s="48"/>
      <c r="AF265" s="48"/>
      <c r="AG265" s="48"/>
      <c r="AH265" s="48"/>
      <c r="AI265" s="48"/>
      <c r="AJ265" s="44"/>
      <c r="AK265" s="44"/>
      <c r="AL265" s="44"/>
    </row>
    <row r="266" spans="1:38" x14ac:dyDescent="0.25">
      <c r="A266" s="94"/>
      <c r="B266" s="265" t="s">
        <v>1065</v>
      </c>
      <c r="C266" s="266">
        <v>63120</v>
      </c>
      <c r="D266" s="265" t="s">
        <v>51</v>
      </c>
      <c r="E266" s="265" t="s">
        <v>1646</v>
      </c>
      <c r="F266" s="267" t="s">
        <v>44</v>
      </c>
      <c r="G266" s="277">
        <v>67</v>
      </c>
      <c r="H266" s="268">
        <v>8.31</v>
      </c>
      <c r="I266" s="287">
        <v>4.72</v>
      </c>
      <c r="J266" s="268">
        <v>5.99</v>
      </c>
      <c r="K266" s="292">
        <v>3.59</v>
      </c>
      <c r="L266" s="268">
        <v>4.55</v>
      </c>
      <c r="M266" s="268">
        <v>10.54</v>
      </c>
      <c r="N266" s="268">
        <v>401.33</v>
      </c>
      <c r="O266" s="268">
        <v>304.85000000000002</v>
      </c>
      <c r="P266" s="268">
        <v>706.18</v>
      </c>
      <c r="Q266" s="269">
        <v>2.9999999999999997E-4</v>
      </c>
      <c r="R266" s="44"/>
      <c r="S266" s="49">
        <f t="shared" si="3"/>
        <v>556.77</v>
      </c>
      <c r="T266" s="85"/>
      <c r="U266" s="48"/>
      <c r="V266" s="48"/>
      <c r="W266" s="48"/>
      <c r="X266" s="48"/>
      <c r="Y266" s="48"/>
      <c r="Z266" s="48"/>
      <c r="AA266" s="48"/>
      <c r="AB266" s="48"/>
      <c r="AC266" s="48"/>
      <c r="AD266" s="48"/>
      <c r="AE266" s="48"/>
      <c r="AF266" s="48"/>
      <c r="AG266" s="48"/>
      <c r="AH266" s="48"/>
      <c r="AI266" s="48"/>
      <c r="AJ266" s="44"/>
      <c r="AK266" s="44"/>
      <c r="AL266" s="44"/>
    </row>
    <row r="267" spans="1:38" ht="27.6" x14ac:dyDescent="0.25">
      <c r="A267" s="94"/>
      <c r="B267" s="265" t="s">
        <v>1071</v>
      </c>
      <c r="C267" s="266" t="s">
        <v>868</v>
      </c>
      <c r="D267" s="265" t="s">
        <v>40</v>
      </c>
      <c r="E267" s="265" t="s">
        <v>869</v>
      </c>
      <c r="F267" s="267" t="s">
        <v>55</v>
      </c>
      <c r="G267" s="277">
        <v>24.7</v>
      </c>
      <c r="H267" s="268">
        <v>25.27</v>
      </c>
      <c r="I267" s="287">
        <v>3.85</v>
      </c>
      <c r="J267" s="268">
        <v>4.88</v>
      </c>
      <c r="K267" s="292">
        <v>21.42</v>
      </c>
      <c r="L267" s="268">
        <v>27.18</v>
      </c>
      <c r="M267" s="268">
        <v>32.06</v>
      </c>
      <c r="N267" s="268">
        <v>120.54</v>
      </c>
      <c r="O267" s="268">
        <v>671.35</v>
      </c>
      <c r="P267" s="268">
        <v>791.89</v>
      </c>
      <c r="Q267" s="269">
        <v>2.9999999999999997E-4</v>
      </c>
      <c r="R267" s="44"/>
      <c r="S267" s="49">
        <f t="shared" si="3"/>
        <v>624.16999999999996</v>
      </c>
      <c r="T267" s="126"/>
      <c r="U267" s="48"/>
      <c r="V267" s="48"/>
      <c r="W267" s="48"/>
      <c r="X267" s="48"/>
      <c r="Y267" s="48"/>
      <c r="Z267" s="48"/>
      <c r="AA267" s="48"/>
      <c r="AB267" s="48"/>
      <c r="AC267" s="48"/>
      <c r="AD267" s="48"/>
      <c r="AE267" s="48"/>
      <c r="AF267" s="48"/>
      <c r="AG267" s="48"/>
      <c r="AH267" s="48"/>
      <c r="AI267" s="48"/>
      <c r="AJ267" s="44"/>
      <c r="AK267" s="44"/>
      <c r="AL267" s="44"/>
    </row>
    <row r="268" spans="1:38" ht="27.6" x14ac:dyDescent="0.25">
      <c r="A268" s="94"/>
      <c r="B268" s="265" t="s">
        <v>1081</v>
      </c>
      <c r="C268" s="266" t="s">
        <v>337</v>
      </c>
      <c r="D268" s="265" t="s">
        <v>40</v>
      </c>
      <c r="E268" s="265" t="s">
        <v>338</v>
      </c>
      <c r="F268" s="267" t="s">
        <v>44</v>
      </c>
      <c r="G268" s="277">
        <v>4</v>
      </c>
      <c r="H268" s="268">
        <v>143.88999999999999</v>
      </c>
      <c r="I268" s="287">
        <v>66.66</v>
      </c>
      <c r="J268" s="268">
        <v>84.57</v>
      </c>
      <c r="K268" s="292">
        <v>77.23</v>
      </c>
      <c r="L268" s="268">
        <v>97.98</v>
      </c>
      <c r="M268" s="268">
        <v>182.55</v>
      </c>
      <c r="N268" s="268">
        <v>338.28</v>
      </c>
      <c r="O268" s="268">
        <v>391.92</v>
      </c>
      <c r="P268" s="268">
        <v>730.2</v>
      </c>
      <c r="Q268" s="269">
        <v>2.9999999999999997E-4</v>
      </c>
      <c r="R268" s="44"/>
      <c r="S268" s="49">
        <f t="shared" si="3"/>
        <v>575.55999999999995</v>
      </c>
      <c r="T268" s="126"/>
      <c r="U268" s="48"/>
      <c r="V268" s="48"/>
      <c r="W268" s="48"/>
      <c r="X268" s="48"/>
      <c r="Y268" s="48"/>
      <c r="Z268" s="48"/>
      <c r="AA268" s="48"/>
      <c r="AB268" s="48"/>
      <c r="AC268" s="48"/>
      <c r="AD268" s="48"/>
      <c r="AE268" s="48"/>
      <c r="AF268" s="48"/>
      <c r="AG268" s="48"/>
      <c r="AH268" s="48"/>
      <c r="AI268" s="48"/>
      <c r="AJ268" s="44"/>
      <c r="AK268" s="44"/>
      <c r="AL268" s="44"/>
    </row>
    <row r="269" spans="1:38" ht="27.6" x14ac:dyDescent="0.25">
      <c r="A269" s="94"/>
      <c r="B269" s="265" t="s">
        <v>1088</v>
      </c>
      <c r="C269" s="266" t="s">
        <v>690</v>
      </c>
      <c r="D269" s="265" t="s">
        <v>40</v>
      </c>
      <c r="E269" s="265" t="s">
        <v>691</v>
      </c>
      <c r="F269" s="267" t="s">
        <v>44</v>
      </c>
      <c r="G269" s="277">
        <v>21</v>
      </c>
      <c r="H269" s="268">
        <v>26.22</v>
      </c>
      <c r="I269" s="287">
        <v>12.21</v>
      </c>
      <c r="J269" s="268">
        <v>15.49</v>
      </c>
      <c r="K269" s="292">
        <v>14.01</v>
      </c>
      <c r="L269" s="268">
        <v>17.77</v>
      </c>
      <c r="M269" s="268">
        <v>33.26</v>
      </c>
      <c r="N269" s="268">
        <v>325.29000000000002</v>
      </c>
      <c r="O269" s="268">
        <v>373.17</v>
      </c>
      <c r="P269" s="268">
        <v>698.46</v>
      </c>
      <c r="Q269" s="269">
        <v>2.9999999999999997E-4</v>
      </c>
      <c r="R269" s="44"/>
      <c r="S269" s="49">
        <f t="shared" si="3"/>
        <v>550.62</v>
      </c>
      <c r="T269" s="126"/>
      <c r="U269" s="48"/>
      <c r="V269" s="48"/>
      <c r="W269" s="48"/>
      <c r="X269" s="48"/>
      <c r="Y269" s="48"/>
      <c r="Z269" s="48"/>
      <c r="AA269" s="48"/>
      <c r="AB269" s="48"/>
      <c r="AC269" s="48"/>
      <c r="AD269" s="48"/>
      <c r="AE269" s="48"/>
      <c r="AF269" s="48"/>
      <c r="AG269" s="48"/>
      <c r="AH269" s="48"/>
      <c r="AI269" s="48"/>
      <c r="AJ269" s="44"/>
      <c r="AK269" s="44"/>
      <c r="AL269" s="44"/>
    </row>
    <row r="270" spans="1:38" ht="27.6" x14ac:dyDescent="0.25">
      <c r="A270" s="44"/>
      <c r="B270" s="265" t="s">
        <v>1094</v>
      </c>
      <c r="C270" s="266" t="s">
        <v>385</v>
      </c>
      <c r="D270" s="265" t="s">
        <v>40</v>
      </c>
      <c r="E270" s="265" t="s">
        <v>386</v>
      </c>
      <c r="F270" s="267" t="s">
        <v>44</v>
      </c>
      <c r="G270" s="277">
        <v>15</v>
      </c>
      <c r="H270" s="268">
        <v>34.89</v>
      </c>
      <c r="I270" s="287">
        <v>16.48</v>
      </c>
      <c r="J270" s="268">
        <v>20.91</v>
      </c>
      <c r="K270" s="292">
        <v>18.41</v>
      </c>
      <c r="L270" s="268">
        <v>23.36</v>
      </c>
      <c r="M270" s="268">
        <v>44.27</v>
      </c>
      <c r="N270" s="268">
        <v>313.64999999999998</v>
      </c>
      <c r="O270" s="268">
        <v>350.4</v>
      </c>
      <c r="P270" s="268">
        <v>664.05</v>
      </c>
      <c r="Q270" s="269">
        <v>2.9999999999999997E-4</v>
      </c>
      <c r="R270" s="44"/>
      <c r="S270" s="49">
        <f t="shared" si="3"/>
        <v>523.35</v>
      </c>
      <c r="T270" s="44"/>
      <c r="U270" s="44"/>
      <c r="V270" s="44"/>
      <c r="W270" s="44"/>
      <c r="X270" s="44"/>
      <c r="Y270" s="44"/>
      <c r="Z270" s="44"/>
      <c r="AA270" s="44"/>
      <c r="AB270" s="44"/>
      <c r="AC270" s="44"/>
      <c r="AD270" s="44"/>
      <c r="AE270" s="44"/>
      <c r="AF270" s="44"/>
      <c r="AG270" s="44"/>
      <c r="AH270" s="44"/>
      <c r="AI270" s="44"/>
      <c r="AJ270" s="44"/>
      <c r="AK270" s="44"/>
      <c r="AL270" s="44"/>
    </row>
    <row r="271" spans="1:38" ht="27.6" x14ac:dyDescent="0.25">
      <c r="A271" s="94"/>
      <c r="B271" s="265" t="s">
        <v>1307</v>
      </c>
      <c r="C271" s="266" t="s">
        <v>1526</v>
      </c>
      <c r="D271" s="265" t="s">
        <v>146</v>
      </c>
      <c r="E271" s="265" t="s">
        <v>1527</v>
      </c>
      <c r="F271" s="267" t="s">
        <v>168</v>
      </c>
      <c r="G271" s="277">
        <v>2</v>
      </c>
      <c r="H271" s="268">
        <v>299.64999999999998</v>
      </c>
      <c r="I271" s="287">
        <v>40.43</v>
      </c>
      <c r="J271" s="268">
        <v>51.29</v>
      </c>
      <c r="K271" s="292">
        <v>259.22000000000003</v>
      </c>
      <c r="L271" s="268">
        <v>328.87</v>
      </c>
      <c r="M271" s="268">
        <v>380.16</v>
      </c>
      <c r="N271" s="268">
        <v>102.58</v>
      </c>
      <c r="O271" s="268">
        <v>657.74</v>
      </c>
      <c r="P271" s="268">
        <v>760.32</v>
      </c>
      <c r="Q271" s="269">
        <v>2.9999999999999997E-4</v>
      </c>
      <c r="R271" s="44"/>
      <c r="S271" s="49">
        <f t="shared" si="3"/>
        <v>599.29999999999995</v>
      </c>
      <c r="T271" s="101"/>
      <c r="U271" s="48"/>
      <c r="V271" s="48"/>
      <c r="W271" s="48"/>
      <c r="X271" s="48"/>
      <c r="Y271" s="48"/>
      <c r="Z271" s="48"/>
      <c r="AA271" s="48"/>
      <c r="AB271" s="48"/>
      <c r="AC271" s="48"/>
      <c r="AD271" s="48"/>
      <c r="AE271" s="48"/>
      <c r="AF271" s="48"/>
      <c r="AG271" s="48"/>
      <c r="AH271" s="48"/>
      <c r="AI271" s="48"/>
      <c r="AJ271" s="48"/>
      <c r="AK271" s="44"/>
      <c r="AL271" s="44"/>
    </row>
    <row r="272" spans="1:38" ht="27.6" x14ac:dyDescent="0.25">
      <c r="A272" s="94"/>
      <c r="B272" s="265" t="s">
        <v>1310</v>
      </c>
      <c r="C272" s="266" t="s">
        <v>220</v>
      </c>
      <c r="D272" s="265" t="s">
        <v>40</v>
      </c>
      <c r="E272" s="265" t="s">
        <v>221</v>
      </c>
      <c r="F272" s="267" t="s">
        <v>44</v>
      </c>
      <c r="G272" s="277">
        <v>35</v>
      </c>
      <c r="H272" s="268">
        <v>14.87</v>
      </c>
      <c r="I272" s="287">
        <v>1.59</v>
      </c>
      <c r="J272" s="268">
        <v>2.02</v>
      </c>
      <c r="K272" s="292">
        <v>13.28</v>
      </c>
      <c r="L272" s="268">
        <v>16.850000000000001</v>
      </c>
      <c r="M272" s="268">
        <v>18.87</v>
      </c>
      <c r="N272" s="268">
        <v>70.7</v>
      </c>
      <c r="O272" s="268">
        <v>589.75</v>
      </c>
      <c r="P272" s="268">
        <v>660.45</v>
      </c>
      <c r="Q272" s="269">
        <v>2.9999999999999997E-4</v>
      </c>
      <c r="R272" s="44"/>
      <c r="S272" s="49">
        <f t="shared" si="3"/>
        <v>520.45000000000005</v>
      </c>
      <c r="T272" s="101"/>
      <c r="U272" s="48"/>
      <c r="V272" s="48"/>
      <c r="W272" s="48"/>
      <c r="X272" s="48"/>
      <c r="Y272" s="48"/>
      <c r="Z272" s="48"/>
      <c r="AA272" s="48"/>
      <c r="AB272" s="48"/>
      <c r="AC272" s="48"/>
      <c r="AD272" s="48"/>
      <c r="AE272" s="48"/>
      <c r="AF272" s="48"/>
      <c r="AG272" s="48"/>
      <c r="AH272" s="48"/>
      <c r="AI272" s="48"/>
      <c r="AJ272" s="48"/>
      <c r="AK272" s="44"/>
      <c r="AL272" s="44"/>
    </row>
    <row r="273" spans="1:38" ht="27.6" x14ac:dyDescent="0.25">
      <c r="A273" s="138"/>
      <c r="B273" s="265" t="s">
        <v>1320</v>
      </c>
      <c r="C273" s="266" t="s">
        <v>1534</v>
      </c>
      <c r="D273" s="265" t="s">
        <v>584</v>
      </c>
      <c r="E273" s="265" t="s">
        <v>1535</v>
      </c>
      <c r="F273" s="267" t="s">
        <v>585</v>
      </c>
      <c r="G273" s="277">
        <v>1</v>
      </c>
      <c r="H273" s="268">
        <v>504.57</v>
      </c>
      <c r="I273" s="287">
        <v>66.63</v>
      </c>
      <c r="J273" s="268">
        <v>84.53</v>
      </c>
      <c r="K273" s="292">
        <v>437.94</v>
      </c>
      <c r="L273" s="268">
        <v>555.61</v>
      </c>
      <c r="M273" s="268">
        <v>640.14</v>
      </c>
      <c r="N273" s="268">
        <v>84.53</v>
      </c>
      <c r="O273" s="268">
        <v>555.61</v>
      </c>
      <c r="P273" s="268">
        <v>640.14</v>
      </c>
      <c r="Q273" s="269">
        <v>2.9999999999999997E-4</v>
      </c>
      <c r="R273" s="44"/>
      <c r="S273" s="49">
        <f t="shared" si="3"/>
        <v>504.57</v>
      </c>
      <c r="T273" s="139"/>
      <c r="U273" s="140"/>
      <c r="V273" s="140"/>
      <c r="W273" s="140"/>
      <c r="X273" s="140"/>
      <c r="Y273" s="140"/>
      <c r="Z273" s="140"/>
      <c r="AA273" s="140"/>
      <c r="AB273" s="140"/>
      <c r="AC273" s="140"/>
      <c r="AD273" s="140"/>
      <c r="AE273" s="140"/>
      <c r="AF273" s="140"/>
      <c r="AG273" s="140"/>
      <c r="AH273" s="140"/>
      <c r="AI273" s="140"/>
      <c r="AJ273" s="140"/>
      <c r="AK273" s="44"/>
      <c r="AL273" s="44"/>
    </row>
    <row r="274" spans="1:38" x14ac:dyDescent="0.25">
      <c r="A274" s="94"/>
      <c r="B274" s="265" t="s">
        <v>1324</v>
      </c>
      <c r="C274" s="266" t="s">
        <v>1538</v>
      </c>
      <c r="D274" s="265" t="s">
        <v>584</v>
      </c>
      <c r="E274" s="265" t="s">
        <v>1539</v>
      </c>
      <c r="F274" s="267" t="s">
        <v>585</v>
      </c>
      <c r="G274" s="277">
        <v>4</v>
      </c>
      <c r="H274" s="268">
        <v>146.13</v>
      </c>
      <c r="I274" s="287">
        <v>26.65</v>
      </c>
      <c r="J274" s="268">
        <v>33.81</v>
      </c>
      <c r="K274" s="292">
        <v>119.48</v>
      </c>
      <c r="L274" s="268">
        <v>151.58000000000001</v>
      </c>
      <c r="M274" s="268">
        <v>185.39</v>
      </c>
      <c r="N274" s="268">
        <v>135.24</v>
      </c>
      <c r="O274" s="268">
        <v>606.32000000000005</v>
      </c>
      <c r="P274" s="268">
        <v>741.56</v>
      </c>
      <c r="Q274" s="269">
        <v>2.9999999999999997E-4</v>
      </c>
      <c r="R274" s="44"/>
      <c r="S274" s="49">
        <f t="shared" si="3"/>
        <v>584.52</v>
      </c>
      <c r="T274" s="101"/>
      <c r="U274" s="48"/>
      <c r="V274" s="48"/>
      <c r="W274" s="48"/>
      <c r="X274" s="48"/>
      <c r="Y274" s="48"/>
      <c r="Z274" s="48"/>
      <c r="AA274" s="48"/>
      <c r="AB274" s="48"/>
      <c r="AC274" s="48"/>
      <c r="AD274" s="48"/>
      <c r="AE274" s="48"/>
      <c r="AF274" s="48"/>
      <c r="AG274" s="48"/>
      <c r="AH274" s="48"/>
      <c r="AI274" s="48"/>
      <c r="AJ274" s="48"/>
      <c r="AK274" s="44"/>
      <c r="AL274" s="44"/>
    </row>
    <row r="275" spans="1:38" ht="27.6" x14ac:dyDescent="0.25">
      <c r="A275" s="94"/>
      <c r="B275" s="265" t="s">
        <v>1559</v>
      </c>
      <c r="C275" s="266" t="s">
        <v>718</v>
      </c>
      <c r="D275" s="265" t="s">
        <v>40</v>
      </c>
      <c r="E275" s="265" t="s">
        <v>719</v>
      </c>
      <c r="F275" s="267" t="s">
        <v>55</v>
      </c>
      <c r="G275" s="277">
        <v>22.9</v>
      </c>
      <c r="H275" s="268">
        <v>30.07</v>
      </c>
      <c r="I275" s="287">
        <v>4.3499999999999996</v>
      </c>
      <c r="J275" s="268">
        <v>5.52</v>
      </c>
      <c r="K275" s="292">
        <v>25.72</v>
      </c>
      <c r="L275" s="268">
        <v>32.630000000000003</v>
      </c>
      <c r="M275" s="268">
        <v>38.15</v>
      </c>
      <c r="N275" s="268">
        <v>126.41</v>
      </c>
      <c r="O275" s="268">
        <v>747.23</v>
      </c>
      <c r="P275" s="268">
        <v>873.64</v>
      </c>
      <c r="Q275" s="269">
        <v>2.9999999999999997E-4</v>
      </c>
      <c r="R275" s="44"/>
      <c r="S275" s="49">
        <f t="shared" si="3"/>
        <v>688.6</v>
      </c>
      <c r="T275" s="101"/>
      <c r="U275" s="48"/>
      <c r="V275" s="48"/>
      <c r="W275" s="48"/>
      <c r="X275" s="48"/>
      <c r="Y275" s="48"/>
      <c r="Z275" s="48"/>
      <c r="AA275" s="48"/>
      <c r="AB275" s="48"/>
      <c r="AC275" s="48"/>
      <c r="AD275" s="48"/>
      <c r="AE275" s="48"/>
      <c r="AF275" s="48"/>
      <c r="AG275" s="48"/>
      <c r="AH275" s="48"/>
      <c r="AI275" s="48"/>
      <c r="AJ275" s="48"/>
      <c r="AK275" s="44"/>
      <c r="AL275" s="44"/>
    </row>
    <row r="276" spans="1:38" ht="27.6" x14ac:dyDescent="0.25">
      <c r="A276" s="94"/>
      <c r="B276" s="265" t="s">
        <v>1560</v>
      </c>
      <c r="C276" s="266" t="s">
        <v>1561</v>
      </c>
      <c r="D276" s="265" t="s">
        <v>40</v>
      </c>
      <c r="E276" s="265" t="s">
        <v>1562</v>
      </c>
      <c r="F276" s="267" t="s">
        <v>55</v>
      </c>
      <c r="G276" s="277">
        <v>10.5</v>
      </c>
      <c r="H276" s="268">
        <v>52.16</v>
      </c>
      <c r="I276" s="287">
        <v>5.78</v>
      </c>
      <c r="J276" s="268">
        <v>7.33</v>
      </c>
      <c r="K276" s="292">
        <v>46.38</v>
      </c>
      <c r="L276" s="268">
        <v>58.84</v>
      </c>
      <c r="M276" s="268">
        <v>66.17</v>
      </c>
      <c r="N276" s="268">
        <v>76.97</v>
      </c>
      <c r="O276" s="268">
        <v>617.82000000000005</v>
      </c>
      <c r="P276" s="268">
        <v>694.79</v>
      </c>
      <c r="Q276" s="269">
        <v>2.9999999999999997E-4</v>
      </c>
      <c r="R276" s="44"/>
      <c r="S276" s="49">
        <f t="shared" si="3"/>
        <v>547.67999999999995</v>
      </c>
      <c r="T276" s="101"/>
      <c r="U276" s="48"/>
      <c r="V276" s="48"/>
      <c r="W276" s="48"/>
      <c r="X276" s="48"/>
      <c r="Y276" s="48"/>
      <c r="Z276" s="48"/>
      <c r="AA276" s="48"/>
      <c r="AB276" s="48"/>
      <c r="AC276" s="48"/>
      <c r="AD276" s="48"/>
      <c r="AE276" s="48"/>
      <c r="AF276" s="48"/>
      <c r="AG276" s="48"/>
      <c r="AH276" s="48"/>
      <c r="AI276" s="48"/>
      <c r="AJ276" s="48"/>
      <c r="AK276" s="44"/>
      <c r="AL276" s="44"/>
    </row>
    <row r="277" spans="1:38" x14ac:dyDescent="0.25">
      <c r="A277" s="94"/>
      <c r="B277" s="265" t="s">
        <v>1570</v>
      </c>
      <c r="C277" s="266" t="s">
        <v>1571</v>
      </c>
      <c r="D277" s="265" t="s">
        <v>584</v>
      </c>
      <c r="E277" s="265" t="s">
        <v>1572</v>
      </c>
      <c r="F277" s="267" t="s">
        <v>585</v>
      </c>
      <c r="G277" s="277">
        <v>1</v>
      </c>
      <c r="H277" s="268">
        <v>538.51</v>
      </c>
      <c r="I277" s="287">
        <v>88.84</v>
      </c>
      <c r="J277" s="268">
        <v>112.71</v>
      </c>
      <c r="K277" s="292">
        <v>449.67</v>
      </c>
      <c r="L277" s="268">
        <v>570.5</v>
      </c>
      <c r="M277" s="268">
        <v>683.21</v>
      </c>
      <c r="N277" s="268">
        <v>112.71</v>
      </c>
      <c r="O277" s="268">
        <v>570.5</v>
      </c>
      <c r="P277" s="268">
        <v>683.21</v>
      </c>
      <c r="Q277" s="269">
        <v>2.9999999999999997E-4</v>
      </c>
      <c r="R277" s="44"/>
      <c r="S277" s="49">
        <f t="shared" ref="S277:S340" si="4">G277*H277</f>
        <v>538.51</v>
      </c>
      <c r="T277" s="101"/>
      <c r="U277" s="48"/>
      <c r="V277" s="48"/>
      <c r="W277" s="48"/>
      <c r="X277" s="48"/>
      <c r="Y277" s="48"/>
      <c r="Z277" s="48"/>
      <c r="AA277" s="48"/>
      <c r="AB277" s="48"/>
      <c r="AC277" s="48"/>
      <c r="AD277" s="48"/>
      <c r="AE277" s="48"/>
      <c r="AF277" s="48"/>
      <c r="AG277" s="48"/>
      <c r="AH277" s="48"/>
      <c r="AI277" s="48"/>
      <c r="AJ277" s="48"/>
      <c r="AK277" s="44"/>
      <c r="AL277" s="44"/>
    </row>
    <row r="278" spans="1:38" ht="27.6" x14ac:dyDescent="0.25">
      <c r="A278" s="94"/>
      <c r="B278" s="265" t="s">
        <v>280</v>
      </c>
      <c r="C278" s="266" t="s">
        <v>340</v>
      </c>
      <c r="D278" s="265" t="s">
        <v>40</v>
      </c>
      <c r="E278" s="265" t="s">
        <v>341</v>
      </c>
      <c r="F278" s="267" t="s">
        <v>44</v>
      </c>
      <c r="G278" s="277">
        <v>33</v>
      </c>
      <c r="H278" s="268">
        <v>16.829999999999998</v>
      </c>
      <c r="I278" s="287">
        <v>10.029999999999999</v>
      </c>
      <c r="J278" s="268">
        <v>12.73</v>
      </c>
      <c r="K278" s="292">
        <v>6.8</v>
      </c>
      <c r="L278" s="268">
        <v>8.6300000000000008</v>
      </c>
      <c r="M278" s="268">
        <v>21.36</v>
      </c>
      <c r="N278" s="268">
        <v>420.09</v>
      </c>
      <c r="O278" s="268">
        <v>284.79000000000002</v>
      </c>
      <c r="P278" s="268">
        <v>704.88</v>
      </c>
      <c r="Q278" s="269">
        <v>2.9999999999999997E-4</v>
      </c>
      <c r="R278" s="44"/>
      <c r="S278" s="49">
        <f t="shared" si="4"/>
        <v>555.39</v>
      </c>
      <c r="T278" s="101"/>
      <c r="U278" s="48"/>
      <c r="V278" s="48"/>
      <c r="W278" s="48"/>
      <c r="X278" s="48"/>
      <c r="Y278" s="48"/>
      <c r="Z278" s="48"/>
      <c r="AA278" s="48"/>
      <c r="AB278" s="48"/>
      <c r="AC278" s="48"/>
      <c r="AD278" s="48"/>
      <c r="AE278" s="48"/>
      <c r="AF278" s="48"/>
      <c r="AG278" s="48"/>
      <c r="AH278" s="48"/>
      <c r="AI278" s="48"/>
      <c r="AJ278" s="48"/>
      <c r="AK278" s="44"/>
      <c r="AL278" s="44"/>
    </row>
    <row r="279" spans="1:38" x14ac:dyDescent="0.25">
      <c r="A279" s="94"/>
      <c r="B279" s="265" t="s">
        <v>74</v>
      </c>
      <c r="C279" s="266" t="s">
        <v>75</v>
      </c>
      <c r="D279" s="265" t="s">
        <v>40</v>
      </c>
      <c r="E279" s="265" t="s">
        <v>76</v>
      </c>
      <c r="F279" s="267" t="s">
        <v>59</v>
      </c>
      <c r="G279" s="277">
        <v>347.81</v>
      </c>
      <c r="H279" s="268">
        <v>1.34</v>
      </c>
      <c r="I279" s="287">
        <v>0.28000000000000003</v>
      </c>
      <c r="J279" s="268">
        <v>0.36</v>
      </c>
      <c r="K279" s="292">
        <v>1.06</v>
      </c>
      <c r="L279" s="268">
        <v>1.34</v>
      </c>
      <c r="M279" s="268">
        <v>1.7</v>
      </c>
      <c r="N279" s="268">
        <v>125.21</v>
      </c>
      <c r="O279" s="268">
        <v>466.07</v>
      </c>
      <c r="P279" s="268">
        <v>591.28</v>
      </c>
      <c r="Q279" s="269">
        <v>2.0000000000000001E-4</v>
      </c>
      <c r="R279" s="44"/>
      <c r="S279" s="49">
        <f t="shared" si="4"/>
        <v>466.07</v>
      </c>
      <c r="T279" s="101"/>
      <c r="U279" s="48"/>
      <c r="V279" s="48"/>
      <c r="W279" s="48"/>
      <c r="X279" s="48"/>
      <c r="Y279" s="48"/>
      <c r="Z279" s="48"/>
      <c r="AA279" s="48"/>
      <c r="AB279" s="48"/>
      <c r="AC279" s="48"/>
      <c r="AD279" s="48"/>
      <c r="AE279" s="48"/>
      <c r="AF279" s="48"/>
      <c r="AG279" s="48"/>
      <c r="AH279" s="48"/>
      <c r="AI279" s="48"/>
      <c r="AJ279" s="48"/>
      <c r="AK279" s="44"/>
      <c r="AL279" s="44"/>
    </row>
    <row r="280" spans="1:38" x14ac:dyDescent="0.25">
      <c r="A280" s="94"/>
      <c r="B280" s="265" t="s">
        <v>1030</v>
      </c>
      <c r="C280" s="266" t="s">
        <v>254</v>
      </c>
      <c r="D280" s="265" t="s">
        <v>40</v>
      </c>
      <c r="E280" s="265" t="s">
        <v>1031</v>
      </c>
      <c r="F280" s="267" t="s">
        <v>44</v>
      </c>
      <c r="G280" s="277">
        <v>3</v>
      </c>
      <c r="H280" s="268">
        <v>109.86</v>
      </c>
      <c r="I280" s="287">
        <v>10.18</v>
      </c>
      <c r="J280" s="268">
        <v>12.92</v>
      </c>
      <c r="K280" s="292">
        <v>99.68</v>
      </c>
      <c r="L280" s="268">
        <v>126.46</v>
      </c>
      <c r="M280" s="268">
        <v>139.38</v>
      </c>
      <c r="N280" s="268">
        <v>38.76</v>
      </c>
      <c r="O280" s="268">
        <v>379.38</v>
      </c>
      <c r="P280" s="268">
        <v>418.14</v>
      </c>
      <c r="Q280" s="269">
        <v>2.0000000000000001E-4</v>
      </c>
      <c r="R280" s="44"/>
      <c r="S280" s="49">
        <f t="shared" si="4"/>
        <v>329.58</v>
      </c>
      <c r="T280" s="101"/>
      <c r="U280" s="48"/>
      <c r="V280" s="48"/>
      <c r="W280" s="48"/>
      <c r="X280" s="48"/>
      <c r="Y280" s="48"/>
      <c r="Z280" s="48"/>
      <c r="AA280" s="48"/>
      <c r="AB280" s="48"/>
      <c r="AC280" s="48"/>
      <c r="AD280" s="48"/>
      <c r="AE280" s="48"/>
      <c r="AF280" s="48"/>
      <c r="AG280" s="48"/>
      <c r="AH280" s="48"/>
      <c r="AI280" s="48"/>
      <c r="AJ280" s="48"/>
      <c r="AK280" s="44"/>
      <c r="AL280" s="44"/>
    </row>
    <row r="281" spans="1:38" ht="27.6" x14ac:dyDescent="0.25">
      <c r="A281" s="94"/>
      <c r="B281" s="265" t="s">
        <v>1046</v>
      </c>
      <c r="C281" s="266" t="s">
        <v>161</v>
      </c>
      <c r="D281" s="265" t="s">
        <v>40</v>
      </c>
      <c r="E281" s="265" t="s">
        <v>1047</v>
      </c>
      <c r="F281" s="267" t="s">
        <v>44</v>
      </c>
      <c r="G281" s="277">
        <v>5</v>
      </c>
      <c r="H281" s="268">
        <v>60.06</v>
      </c>
      <c r="I281" s="287">
        <v>3.46</v>
      </c>
      <c r="J281" s="268">
        <v>4.3899999999999997</v>
      </c>
      <c r="K281" s="292">
        <v>56.6</v>
      </c>
      <c r="L281" s="268">
        <v>71.81</v>
      </c>
      <c r="M281" s="268">
        <v>76.2</v>
      </c>
      <c r="N281" s="268">
        <v>21.95</v>
      </c>
      <c r="O281" s="268">
        <v>359.05</v>
      </c>
      <c r="P281" s="268">
        <v>381</v>
      </c>
      <c r="Q281" s="269">
        <v>2.0000000000000001E-4</v>
      </c>
      <c r="R281" s="44"/>
      <c r="S281" s="49">
        <f t="shared" si="4"/>
        <v>300.3</v>
      </c>
      <c r="T281" s="101"/>
      <c r="U281" s="48"/>
      <c r="V281" s="48"/>
      <c r="W281" s="48"/>
      <c r="X281" s="48"/>
      <c r="Y281" s="48"/>
      <c r="Z281" s="48"/>
      <c r="AA281" s="48"/>
      <c r="AB281" s="48"/>
      <c r="AC281" s="48"/>
      <c r="AD281" s="48"/>
      <c r="AE281" s="48"/>
      <c r="AF281" s="48"/>
      <c r="AG281" s="48"/>
      <c r="AH281" s="48"/>
      <c r="AI281" s="48"/>
      <c r="AJ281" s="48"/>
      <c r="AK281" s="44"/>
      <c r="AL281" s="44"/>
    </row>
    <row r="282" spans="1:38" ht="27.6" x14ac:dyDescent="0.25">
      <c r="A282" s="94"/>
      <c r="B282" s="265" t="s">
        <v>1201</v>
      </c>
      <c r="C282" s="266" t="s">
        <v>605</v>
      </c>
      <c r="D282" s="265" t="s">
        <v>40</v>
      </c>
      <c r="E282" s="265" t="s">
        <v>606</v>
      </c>
      <c r="F282" s="267" t="s">
        <v>44</v>
      </c>
      <c r="G282" s="277">
        <v>18</v>
      </c>
      <c r="H282" s="268">
        <v>24.39</v>
      </c>
      <c r="I282" s="287">
        <v>7.6</v>
      </c>
      <c r="J282" s="268">
        <v>9.64</v>
      </c>
      <c r="K282" s="292">
        <v>16.79</v>
      </c>
      <c r="L282" s="268">
        <v>21.3</v>
      </c>
      <c r="M282" s="268">
        <v>30.94</v>
      </c>
      <c r="N282" s="268">
        <v>173.52</v>
      </c>
      <c r="O282" s="268">
        <v>383.4</v>
      </c>
      <c r="P282" s="268">
        <v>556.91999999999996</v>
      </c>
      <c r="Q282" s="269">
        <v>2.0000000000000001E-4</v>
      </c>
      <c r="R282" s="44"/>
      <c r="S282" s="49">
        <f t="shared" si="4"/>
        <v>439.02</v>
      </c>
      <c r="T282" s="101"/>
      <c r="U282" s="48"/>
      <c r="V282" s="48"/>
      <c r="W282" s="48"/>
      <c r="X282" s="48"/>
      <c r="Y282" s="48"/>
      <c r="Z282" s="48"/>
      <c r="AA282" s="48"/>
      <c r="AB282" s="48"/>
      <c r="AC282" s="48"/>
      <c r="AD282" s="48"/>
      <c r="AE282" s="48"/>
      <c r="AF282" s="48"/>
      <c r="AG282" s="48"/>
      <c r="AH282" s="48"/>
      <c r="AI282" s="48"/>
      <c r="AJ282" s="48"/>
      <c r="AK282" s="44"/>
      <c r="AL282" s="44"/>
    </row>
    <row r="283" spans="1:38" ht="27.6" x14ac:dyDescent="0.25">
      <c r="A283" s="94"/>
      <c r="B283" s="265" t="s">
        <v>1218</v>
      </c>
      <c r="C283" s="266" t="s">
        <v>630</v>
      </c>
      <c r="D283" s="265" t="s">
        <v>40</v>
      </c>
      <c r="E283" s="265" t="s">
        <v>631</v>
      </c>
      <c r="F283" s="267" t="s">
        <v>44</v>
      </c>
      <c r="G283" s="277">
        <v>29</v>
      </c>
      <c r="H283" s="268">
        <v>14.55</v>
      </c>
      <c r="I283" s="287">
        <v>1.54</v>
      </c>
      <c r="J283" s="268">
        <v>1.95</v>
      </c>
      <c r="K283" s="292">
        <v>13.01</v>
      </c>
      <c r="L283" s="268">
        <v>16.510000000000002</v>
      </c>
      <c r="M283" s="268">
        <v>18.46</v>
      </c>
      <c r="N283" s="268">
        <v>56.55</v>
      </c>
      <c r="O283" s="268">
        <v>478.79</v>
      </c>
      <c r="P283" s="268">
        <v>535.34</v>
      </c>
      <c r="Q283" s="269">
        <v>2.0000000000000001E-4</v>
      </c>
      <c r="R283" s="44"/>
      <c r="S283" s="49">
        <f t="shared" si="4"/>
        <v>421.95</v>
      </c>
      <c r="T283" s="101"/>
      <c r="U283" s="48"/>
      <c r="V283" s="48"/>
      <c r="W283" s="48"/>
      <c r="X283" s="48"/>
      <c r="Y283" s="48"/>
      <c r="Z283" s="48"/>
      <c r="AA283" s="48"/>
      <c r="AB283" s="48"/>
      <c r="AC283" s="48"/>
      <c r="AD283" s="48"/>
      <c r="AE283" s="48"/>
      <c r="AF283" s="48"/>
      <c r="AG283" s="48"/>
      <c r="AH283" s="48"/>
      <c r="AI283" s="48"/>
      <c r="AJ283" s="48"/>
      <c r="AK283" s="44"/>
      <c r="AL283" s="44"/>
    </row>
    <row r="284" spans="1:38" ht="27.6" x14ac:dyDescent="0.25">
      <c r="A284" s="94"/>
      <c r="B284" s="265" t="s">
        <v>1221</v>
      </c>
      <c r="C284" s="266" t="s">
        <v>196</v>
      </c>
      <c r="D284" s="265" t="s">
        <v>40</v>
      </c>
      <c r="E284" s="265" t="s">
        <v>197</v>
      </c>
      <c r="F284" s="267" t="s">
        <v>44</v>
      </c>
      <c r="G284" s="277">
        <v>39</v>
      </c>
      <c r="H284" s="268">
        <v>8.69</v>
      </c>
      <c r="I284" s="287">
        <v>4.91</v>
      </c>
      <c r="J284" s="268">
        <v>6.23</v>
      </c>
      <c r="K284" s="292">
        <v>3.78</v>
      </c>
      <c r="L284" s="268">
        <v>4.8</v>
      </c>
      <c r="M284" s="268">
        <v>11.03</v>
      </c>
      <c r="N284" s="268">
        <v>242.97</v>
      </c>
      <c r="O284" s="268">
        <v>187.2</v>
      </c>
      <c r="P284" s="268">
        <v>430.17</v>
      </c>
      <c r="Q284" s="269">
        <v>2.0000000000000001E-4</v>
      </c>
      <c r="R284" s="44"/>
      <c r="S284" s="49">
        <f t="shared" si="4"/>
        <v>338.91</v>
      </c>
      <c r="T284" s="101"/>
      <c r="U284" s="48"/>
      <c r="V284" s="48"/>
      <c r="W284" s="48"/>
      <c r="X284" s="48"/>
      <c r="Y284" s="48"/>
      <c r="Z284" s="48"/>
      <c r="AA284" s="48"/>
      <c r="AB284" s="48"/>
      <c r="AC284" s="48"/>
      <c r="AD284" s="48"/>
      <c r="AE284" s="48"/>
      <c r="AF284" s="48"/>
      <c r="AG284" s="48"/>
      <c r="AH284" s="48"/>
      <c r="AI284" s="48"/>
      <c r="AJ284" s="48"/>
      <c r="AK284" s="44"/>
      <c r="AL284" s="44"/>
    </row>
    <row r="285" spans="1:38" ht="27.6" x14ac:dyDescent="0.25">
      <c r="A285" s="94"/>
      <c r="B285" s="265" t="s">
        <v>1222</v>
      </c>
      <c r="C285" s="266" t="s">
        <v>166</v>
      </c>
      <c r="D285" s="265" t="s">
        <v>40</v>
      </c>
      <c r="E285" s="265" t="s">
        <v>167</v>
      </c>
      <c r="F285" s="267" t="s">
        <v>44</v>
      </c>
      <c r="G285" s="277">
        <v>20</v>
      </c>
      <c r="H285" s="268">
        <v>17.64</v>
      </c>
      <c r="I285" s="287">
        <v>4.3600000000000003</v>
      </c>
      <c r="J285" s="268">
        <v>5.53</v>
      </c>
      <c r="K285" s="292">
        <v>13.28</v>
      </c>
      <c r="L285" s="268">
        <v>16.850000000000001</v>
      </c>
      <c r="M285" s="268">
        <v>22.38</v>
      </c>
      <c r="N285" s="268">
        <v>110.6</v>
      </c>
      <c r="O285" s="268">
        <v>337</v>
      </c>
      <c r="P285" s="268">
        <v>447.6</v>
      </c>
      <c r="Q285" s="269">
        <v>2.0000000000000001E-4</v>
      </c>
      <c r="R285" s="44"/>
      <c r="S285" s="49">
        <f t="shared" si="4"/>
        <v>352.8</v>
      </c>
      <c r="T285" s="101"/>
      <c r="U285" s="48"/>
      <c r="V285" s="48"/>
      <c r="W285" s="48"/>
      <c r="X285" s="48"/>
      <c r="Y285" s="48"/>
      <c r="Z285" s="48"/>
      <c r="AA285" s="48"/>
      <c r="AB285" s="48"/>
      <c r="AC285" s="48"/>
      <c r="AD285" s="48"/>
      <c r="AE285" s="48"/>
      <c r="AF285" s="48"/>
      <c r="AG285" s="48"/>
      <c r="AH285" s="48"/>
      <c r="AI285" s="48"/>
      <c r="AJ285" s="48"/>
      <c r="AK285" s="44"/>
      <c r="AL285" s="44"/>
    </row>
    <row r="286" spans="1:38" x14ac:dyDescent="0.25">
      <c r="A286" s="94"/>
      <c r="B286" s="265" t="s">
        <v>1234</v>
      </c>
      <c r="C286" s="266" t="s">
        <v>1482</v>
      </c>
      <c r="D286" s="265" t="s">
        <v>199</v>
      </c>
      <c r="E286" s="265" t="s">
        <v>1483</v>
      </c>
      <c r="F286" s="267" t="s">
        <v>168</v>
      </c>
      <c r="G286" s="277">
        <v>1</v>
      </c>
      <c r="H286" s="268">
        <v>403.98</v>
      </c>
      <c r="I286" s="287">
        <v>57.06</v>
      </c>
      <c r="J286" s="268">
        <v>72.39</v>
      </c>
      <c r="K286" s="292">
        <v>346.92</v>
      </c>
      <c r="L286" s="268">
        <v>440.14</v>
      </c>
      <c r="M286" s="268">
        <v>512.53</v>
      </c>
      <c r="N286" s="268">
        <v>72.39</v>
      </c>
      <c r="O286" s="268">
        <v>440.14</v>
      </c>
      <c r="P286" s="268">
        <v>512.53</v>
      </c>
      <c r="Q286" s="269">
        <v>2.0000000000000001E-4</v>
      </c>
      <c r="R286" s="44"/>
      <c r="S286" s="49">
        <f t="shared" si="4"/>
        <v>403.98</v>
      </c>
      <c r="T286" s="141"/>
      <c r="U286" s="48"/>
      <c r="V286" s="48"/>
      <c r="W286" s="48"/>
      <c r="X286" s="48"/>
      <c r="Y286" s="48"/>
      <c r="Z286" s="48"/>
      <c r="AA286" s="48"/>
      <c r="AB286" s="48"/>
      <c r="AC286" s="48"/>
      <c r="AD286" s="48"/>
      <c r="AE286" s="48"/>
      <c r="AF286" s="48"/>
      <c r="AG286" s="48"/>
      <c r="AH286" s="48"/>
      <c r="AI286" s="48"/>
      <c r="AJ286" s="48"/>
      <c r="AK286" s="44"/>
      <c r="AL286" s="44"/>
    </row>
    <row r="287" spans="1:38" ht="27.6" x14ac:dyDescent="0.25">
      <c r="A287" s="94"/>
      <c r="B287" s="265" t="s">
        <v>1235</v>
      </c>
      <c r="C287" s="266" t="s">
        <v>637</v>
      </c>
      <c r="D287" s="265" t="s">
        <v>40</v>
      </c>
      <c r="E287" s="265" t="s">
        <v>638</v>
      </c>
      <c r="F287" s="267" t="s">
        <v>55</v>
      </c>
      <c r="G287" s="277">
        <v>12.4</v>
      </c>
      <c r="H287" s="268">
        <v>28.06</v>
      </c>
      <c r="I287" s="287">
        <v>15.05</v>
      </c>
      <c r="J287" s="268">
        <v>19.09</v>
      </c>
      <c r="K287" s="292">
        <v>13.01</v>
      </c>
      <c r="L287" s="268">
        <v>16.510000000000002</v>
      </c>
      <c r="M287" s="268">
        <v>35.6</v>
      </c>
      <c r="N287" s="268">
        <v>236.72</v>
      </c>
      <c r="O287" s="268">
        <v>204.72</v>
      </c>
      <c r="P287" s="268">
        <v>441.44</v>
      </c>
      <c r="Q287" s="269">
        <v>2.0000000000000001E-4</v>
      </c>
      <c r="R287" s="44"/>
      <c r="S287" s="49">
        <f t="shared" si="4"/>
        <v>347.94</v>
      </c>
      <c r="T287" s="48"/>
      <c r="U287" s="48"/>
      <c r="V287" s="48"/>
      <c r="W287" s="48"/>
      <c r="X287" s="48"/>
      <c r="Y287" s="48"/>
      <c r="Z287" s="48"/>
      <c r="AA287" s="48"/>
      <c r="AB287" s="48"/>
      <c r="AC287" s="48"/>
      <c r="AD287" s="48"/>
      <c r="AE287" s="48"/>
      <c r="AF287" s="48"/>
      <c r="AG287" s="48"/>
      <c r="AH287" s="48"/>
      <c r="AI287" s="48"/>
      <c r="AJ287" s="48"/>
      <c r="AK287" s="44"/>
      <c r="AL287" s="44"/>
    </row>
    <row r="288" spans="1:38" x14ac:dyDescent="0.25">
      <c r="A288" s="142"/>
      <c r="B288" s="265" t="s">
        <v>1243</v>
      </c>
      <c r="C288" s="266" t="s">
        <v>261</v>
      </c>
      <c r="D288" s="265" t="s">
        <v>40</v>
      </c>
      <c r="E288" s="265" t="s">
        <v>262</v>
      </c>
      <c r="F288" s="267" t="s">
        <v>44</v>
      </c>
      <c r="G288" s="277">
        <v>37</v>
      </c>
      <c r="H288" s="268">
        <v>9.9700000000000006</v>
      </c>
      <c r="I288" s="287">
        <v>1.92</v>
      </c>
      <c r="J288" s="268">
        <v>2.44</v>
      </c>
      <c r="K288" s="292">
        <v>8.0500000000000007</v>
      </c>
      <c r="L288" s="268">
        <v>10.210000000000001</v>
      </c>
      <c r="M288" s="268">
        <v>12.65</v>
      </c>
      <c r="N288" s="268">
        <v>90.28</v>
      </c>
      <c r="O288" s="268">
        <v>377.77</v>
      </c>
      <c r="P288" s="268">
        <v>468.05</v>
      </c>
      <c r="Q288" s="269">
        <v>2.0000000000000001E-4</v>
      </c>
      <c r="R288" s="44"/>
      <c r="S288" s="49">
        <f t="shared" si="4"/>
        <v>368.89</v>
      </c>
      <c r="T288" s="143"/>
      <c r="U288" s="143"/>
      <c r="V288" s="143"/>
      <c r="W288" s="143"/>
      <c r="X288" s="143"/>
      <c r="Y288" s="143"/>
      <c r="Z288" s="143"/>
      <c r="AA288" s="143"/>
      <c r="AB288" s="143"/>
      <c r="AC288" s="143"/>
      <c r="AD288" s="143"/>
      <c r="AE288" s="143"/>
      <c r="AF288" s="143"/>
      <c r="AG288" s="143"/>
      <c r="AH288" s="143"/>
      <c r="AI288" s="143"/>
      <c r="AJ288" s="143"/>
      <c r="AK288" s="44"/>
      <c r="AL288" s="44"/>
    </row>
    <row r="289" spans="1:38" ht="27.6" x14ac:dyDescent="0.25">
      <c r="A289" s="142"/>
      <c r="B289" s="265" t="s">
        <v>1245</v>
      </c>
      <c r="C289" s="266" t="s">
        <v>388</v>
      </c>
      <c r="D289" s="265" t="s">
        <v>40</v>
      </c>
      <c r="E289" s="265" t="s">
        <v>1105</v>
      </c>
      <c r="F289" s="267" t="s">
        <v>44</v>
      </c>
      <c r="G289" s="277">
        <v>39</v>
      </c>
      <c r="H289" s="268">
        <v>8</v>
      </c>
      <c r="I289" s="287">
        <v>2.8</v>
      </c>
      <c r="J289" s="268">
        <v>3.55</v>
      </c>
      <c r="K289" s="292">
        <v>5.2</v>
      </c>
      <c r="L289" s="268">
        <v>6.6</v>
      </c>
      <c r="M289" s="268">
        <v>10.15</v>
      </c>
      <c r="N289" s="268">
        <v>138.44999999999999</v>
      </c>
      <c r="O289" s="268">
        <v>257.39999999999998</v>
      </c>
      <c r="P289" s="268">
        <v>395.85</v>
      </c>
      <c r="Q289" s="269">
        <v>2.0000000000000001E-4</v>
      </c>
      <c r="R289" s="44"/>
      <c r="S289" s="49">
        <f t="shared" si="4"/>
        <v>312</v>
      </c>
      <c r="T289" s="143"/>
      <c r="U289" s="143"/>
      <c r="V289" s="143"/>
      <c r="W289" s="143"/>
      <c r="X289" s="143"/>
      <c r="Y289" s="143"/>
      <c r="Z289" s="143"/>
      <c r="AA289" s="143"/>
      <c r="AB289" s="143"/>
      <c r="AC289" s="143"/>
      <c r="AD289" s="143"/>
      <c r="AE289" s="143"/>
      <c r="AF289" s="143"/>
      <c r="AG289" s="143"/>
      <c r="AH289" s="143"/>
      <c r="AI289" s="143"/>
      <c r="AJ289" s="143"/>
      <c r="AK289" s="44"/>
      <c r="AL289" s="44"/>
    </row>
    <row r="290" spans="1:38" ht="27.6" x14ac:dyDescent="0.25">
      <c r="A290" s="142"/>
      <c r="B290" s="265" t="s">
        <v>1247</v>
      </c>
      <c r="C290" s="266" t="s">
        <v>611</v>
      </c>
      <c r="D290" s="265" t="s">
        <v>40</v>
      </c>
      <c r="E290" s="265" t="s">
        <v>612</v>
      </c>
      <c r="F290" s="267" t="s">
        <v>44</v>
      </c>
      <c r="G290" s="277">
        <v>9</v>
      </c>
      <c r="H290" s="268">
        <v>41.09</v>
      </c>
      <c r="I290" s="287">
        <v>7.19</v>
      </c>
      <c r="J290" s="268">
        <v>9.1199999999999992</v>
      </c>
      <c r="K290" s="292">
        <v>33.9</v>
      </c>
      <c r="L290" s="268">
        <v>43.01</v>
      </c>
      <c r="M290" s="268">
        <v>52.13</v>
      </c>
      <c r="N290" s="268">
        <v>82.08</v>
      </c>
      <c r="O290" s="268">
        <v>387.09</v>
      </c>
      <c r="P290" s="268">
        <v>469.17</v>
      </c>
      <c r="Q290" s="269">
        <v>2.0000000000000001E-4</v>
      </c>
      <c r="R290" s="44"/>
      <c r="S290" s="49">
        <f t="shared" si="4"/>
        <v>369.81</v>
      </c>
      <c r="T290" s="143"/>
      <c r="U290" s="143"/>
      <c r="V290" s="143"/>
      <c r="W290" s="143"/>
      <c r="X290" s="143"/>
      <c r="Y290" s="143"/>
      <c r="Z290" s="143"/>
      <c r="AA290" s="143"/>
      <c r="AB290" s="143"/>
      <c r="AC290" s="143"/>
      <c r="AD290" s="143"/>
      <c r="AE290" s="143"/>
      <c r="AF290" s="143"/>
      <c r="AG290" s="143"/>
      <c r="AH290" s="143"/>
      <c r="AI290" s="143"/>
      <c r="AJ290" s="143"/>
      <c r="AK290" s="44"/>
      <c r="AL290" s="44"/>
    </row>
    <row r="291" spans="1:38" ht="27.6" x14ac:dyDescent="0.25">
      <c r="A291" s="142"/>
      <c r="B291" s="265" t="s">
        <v>1250</v>
      </c>
      <c r="C291" s="266" t="s">
        <v>647</v>
      </c>
      <c r="D291" s="265" t="s">
        <v>40</v>
      </c>
      <c r="E291" s="265" t="s">
        <v>648</v>
      </c>
      <c r="F291" s="267" t="s">
        <v>44</v>
      </c>
      <c r="G291" s="277">
        <v>28</v>
      </c>
      <c r="H291" s="268">
        <v>14.87</v>
      </c>
      <c r="I291" s="287">
        <v>4.5599999999999996</v>
      </c>
      <c r="J291" s="268">
        <v>5.79</v>
      </c>
      <c r="K291" s="292">
        <v>10.31</v>
      </c>
      <c r="L291" s="268">
        <v>13.08</v>
      </c>
      <c r="M291" s="268">
        <v>18.87</v>
      </c>
      <c r="N291" s="268">
        <v>162.12</v>
      </c>
      <c r="O291" s="268">
        <v>366.24</v>
      </c>
      <c r="P291" s="268">
        <v>528.36</v>
      </c>
      <c r="Q291" s="269">
        <v>2.0000000000000001E-4</v>
      </c>
      <c r="R291" s="44"/>
      <c r="S291" s="49">
        <f t="shared" si="4"/>
        <v>416.36</v>
      </c>
      <c r="T291" s="143"/>
      <c r="U291" s="143"/>
      <c r="V291" s="143"/>
      <c r="W291" s="143"/>
      <c r="X291" s="143"/>
      <c r="Y291" s="143"/>
      <c r="Z291" s="143"/>
      <c r="AA291" s="143"/>
      <c r="AB291" s="143"/>
      <c r="AC291" s="143"/>
      <c r="AD291" s="143"/>
      <c r="AE291" s="143"/>
      <c r="AF291" s="143"/>
      <c r="AG291" s="143"/>
      <c r="AH291" s="143"/>
      <c r="AI291" s="143"/>
      <c r="AJ291" s="143"/>
      <c r="AK291" s="44"/>
      <c r="AL291" s="44"/>
    </row>
    <row r="292" spans="1:38" ht="27.6" x14ac:dyDescent="0.25">
      <c r="A292" s="22"/>
      <c r="B292" s="265" t="s">
        <v>1253</v>
      </c>
      <c r="C292" s="266" t="s">
        <v>187</v>
      </c>
      <c r="D292" s="265" t="s">
        <v>40</v>
      </c>
      <c r="E292" s="265" t="s">
        <v>188</v>
      </c>
      <c r="F292" s="267" t="s">
        <v>44</v>
      </c>
      <c r="G292" s="277">
        <v>38</v>
      </c>
      <c r="H292" s="268">
        <v>8.8000000000000007</v>
      </c>
      <c r="I292" s="287">
        <v>4.22</v>
      </c>
      <c r="J292" s="268">
        <v>5.35</v>
      </c>
      <c r="K292" s="292">
        <v>4.58</v>
      </c>
      <c r="L292" s="268">
        <v>5.81</v>
      </c>
      <c r="M292" s="268">
        <v>11.16</v>
      </c>
      <c r="N292" s="268">
        <v>203.3</v>
      </c>
      <c r="O292" s="268">
        <v>220.78</v>
      </c>
      <c r="P292" s="268">
        <v>424.08</v>
      </c>
      <c r="Q292" s="269">
        <v>2.0000000000000001E-4</v>
      </c>
      <c r="R292" s="44"/>
      <c r="S292" s="49">
        <f t="shared" si="4"/>
        <v>334.4</v>
      </c>
      <c r="T292" s="143"/>
      <c r="U292" s="143"/>
      <c r="V292" s="143"/>
      <c r="W292" s="143"/>
      <c r="X292" s="143"/>
      <c r="Y292" s="143"/>
      <c r="Z292" s="143"/>
      <c r="AA292" s="143"/>
      <c r="AB292" s="143"/>
      <c r="AC292" s="143"/>
      <c r="AD292" s="143"/>
      <c r="AE292" s="143"/>
      <c r="AF292" s="143"/>
      <c r="AG292" s="143"/>
      <c r="AH292" s="143"/>
      <c r="AI292" s="143"/>
      <c r="AJ292" s="143"/>
      <c r="AK292" s="44"/>
      <c r="AL292" s="44"/>
    </row>
    <row r="293" spans="1:38" ht="41.4" x14ac:dyDescent="0.25">
      <c r="A293" s="22"/>
      <c r="B293" s="265" t="s">
        <v>1254</v>
      </c>
      <c r="C293" s="266" t="s">
        <v>651</v>
      </c>
      <c r="D293" s="265" t="s">
        <v>40</v>
      </c>
      <c r="E293" s="265" t="s">
        <v>652</v>
      </c>
      <c r="F293" s="267" t="s">
        <v>44</v>
      </c>
      <c r="G293" s="277">
        <v>9</v>
      </c>
      <c r="H293" s="268">
        <v>40.67</v>
      </c>
      <c r="I293" s="287">
        <v>7.7</v>
      </c>
      <c r="J293" s="268">
        <v>9.77</v>
      </c>
      <c r="K293" s="292">
        <v>32.97</v>
      </c>
      <c r="L293" s="268">
        <v>41.83</v>
      </c>
      <c r="M293" s="268">
        <v>51.6</v>
      </c>
      <c r="N293" s="268">
        <v>87.93</v>
      </c>
      <c r="O293" s="268">
        <v>376.47</v>
      </c>
      <c r="P293" s="268">
        <v>464.4</v>
      </c>
      <c r="Q293" s="269">
        <v>2.0000000000000001E-4</v>
      </c>
      <c r="R293" s="44"/>
      <c r="S293" s="49">
        <f t="shared" si="4"/>
        <v>366.03</v>
      </c>
      <c r="T293" s="143"/>
      <c r="U293" s="143"/>
      <c r="V293" s="143"/>
      <c r="W293" s="143"/>
      <c r="X293" s="143"/>
      <c r="Y293" s="143"/>
      <c r="Z293" s="143"/>
      <c r="AA293" s="143"/>
      <c r="AB293" s="143"/>
      <c r="AC293" s="143"/>
      <c r="AD293" s="143"/>
      <c r="AE293" s="143"/>
      <c r="AF293" s="143"/>
      <c r="AG293" s="143"/>
      <c r="AH293" s="143"/>
      <c r="AI293" s="143"/>
      <c r="AJ293" s="143"/>
      <c r="AK293" s="44"/>
      <c r="AL293" s="44"/>
    </row>
    <row r="294" spans="1:38" x14ac:dyDescent="0.25">
      <c r="A294" s="22"/>
      <c r="B294" s="265" t="s">
        <v>1273</v>
      </c>
      <c r="C294" s="266" t="s">
        <v>1490</v>
      </c>
      <c r="D294" s="265" t="s">
        <v>146</v>
      </c>
      <c r="E294" s="265" t="s">
        <v>1491</v>
      </c>
      <c r="F294" s="267" t="s">
        <v>168</v>
      </c>
      <c r="G294" s="277">
        <v>1</v>
      </c>
      <c r="H294" s="268">
        <v>423.01</v>
      </c>
      <c r="I294" s="287">
        <v>39.700000000000003</v>
      </c>
      <c r="J294" s="268">
        <v>50.37</v>
      </c>
      <c r="K294" s="292">
        <v>383.31</v>
      </c>
      <c r="L294" s="268">
        <v>486.31</v>
      </c>
      <c r="M294" s="268">
        <v>536.67999999999995</v>
      </c>
      <c r="N294" s="268">
        <v>50.37</v>
      </c>
      <c r="O294" s="268">
        <v>486.31</v>
      </c>
      <c r="P294" s="268">
        <v>536.67999999999995</v>
      </c>
      <c r="Q294" s="269">
        <v>2.0000000000000001E-4</v>
      </c>
      <c r="R294" s="44"/>
      <c r="S294" s="49">
        <f t="shared" si="4"/>
        <v>423.01</v>
      </c>
      <c r="T294" s="143"/>
      <c r="U294" s="143"/>
      <c r="V294" s="143"/>
      <c r="W294" s="143"/>
      <c r="X294" s="143"/>
      <c r="Y294" s="143"/>
      <c r="Z294" s="143"/>
      <c r="AA294" s="143"/>
      <c r="AB294" s="143"/>
      <c r="AC294" s="143"/>
      <c r="AD294" s="143"/>
      <c r="AE294" s="143"/>
      <c r="AF294" s="143"/>
      <c r="AG294" s="143"/>
      <c r="AH294" s="143"/>
      <c r="AI294" s="143"/>
      <c r="AJ294" s="143"/>
      <c r="AK294" s="44"/>
      <c r="AL294" s="44"/>
    </row>
    <row r="295" spans="1:38" x14ac:dyDescent="0.25">
      <c r="A295" s="22"/>
      <c r="B295" s="265" t="s">
        <v>1283</v>
      </c>
      <c r="C295" s="266" t="s">
        <v>1494</v>
      </c>
      <c r="D295" s="265" t="s">
        <v>100</v>
      </c>
      <c r="E295" s="265" t="s">
        <v>1495</v>
      </c>
      <c r="F295" s="267" t="s">
        <v>44</v>
      </c>
      <c r="G295" s="277">
        <v>1</v>
      </c>
      <c r="H295" s="268">
        <v>347.34</v>
      </c>
      <c r="I295" s="287">
        <v>29.25</v>
      </c>
      <c r="J295" s="268">
        <v>37.11</v>
      </c>
      <c r="K295" s="292">
        <v>318.08999999999997</v>
      </c>
      <c r="L295" s="268">
        <v>403.56</v>
      </c>
      <c r="M295" s="268">
        <v>440.67</v>
      </c>
      <c r="N295" s="268">
        <v>37.11</v>
      </c>
      <c r="O295" s="268">
        <v>403.56</v>
      </c>
      <c r="P295" s="268">
        <v>440.67</v>
      </c>
      <c r="Q295" s="269">
        <v>2.0000000000000001E-4</v>
      </c>
      <c r="R295" s="44"/>
      <c r="S295" s="49">
        <f t="shared" si="4"/>
        <v>347.34</v>
      </c>
      <c r="T295" s="143"/>
      <c r="U295" s="143"/>
      <c r="V295" s="143"/>
      <c r="W295" s="143"/>
      <c r="X295" s="143"/>
      <c r="Y295" s="143"/>
      <c r="Z295" s="143"/>
      <c r="AA295" s="143"/>
      <c r="AB295" s="143"/>
      <c r="AC295" s="143"/>
      <c r="AD295" s="143"/>
      <c r="AE295" s="143"/>
      <c r="AF295" s="143"/>
      <c r="AG295" s="143"/>
      <c r="AH295" s="143"/>
      <c r="AI295" s="143"/>
      <c r="AJ295" s="143"/>
      <c r="AK295" s="44"/>
      <c r="AL295" s="44"/>
    </row>
    <row r="296" spans="1:38" ht="27.6" x14ac:dyDescent="0.25">
      <c r="A296" s="22"/>
      <c r="B296" s="265" t="s">
        <v>1292</v>
      </c>
      <c r="C296" s="266" t="s">
        <v>193</v>
      </c>
      <c r="D296" s="265" t="s">
        <v>40</v>
      </c>
      <c r="E296" s="265" t="s">
        <v>194</v>
      </c>
      <c r="F296" s="267" t="s">
        <v>44</v>
      </c>
      <c r="G296" s="277">
        <v>25</v>
      </c>
      <c r="H296" s="268">
        <v>17.260000000000002</v>
      </c>
      <c r="I296" s="287">
        <v>1.49</v>
      </c>
      <c r="J296" s="268">
        <v>1.89</v>
      </c>
      <c r="K296" s="292">
        <v>15.77</v>
      </c>
      <c r="L296" s="268">
        <v>20.010000000000002</v>
      </c>
      <c r="M296" s="268">
        <v>21.9</v>
      </c>
      <c r="N296" s="268">
        <v>47.25</v>
      </c>
      <c r="O296" s="268">
        <v>500.25</v>
      </c>
      <c r="P296" s="268">
        <v>547.5</v>
      </c>
      <c r="Q296" s="269">
        <v>2.0000000000000001E-4</v>
      </c>
      <c r="R296" s="44"/>
      <c r="S296" s="49">
        <f t="shared" si="4"/>
        <v>431.5</v>
      </c>
      <c r="T296" s="143"/>
      <c r="U296" s="143"/>
      <c r="V296" s="143"/>
      <c r="W296" s="143"/>
      <c r="X296" s="143"/>
      <c r="Y296" s="143"/>
      <c r="Z296" s="143"/>
      <c r="AA296" s="143"/>
      <c r="AB296" s="143"/>
      <c r="AC296" s="143"/>
      <c r="AD296" s="143"/>
      <c r="AE296" s="143"/>
      <c r="AF296" s="143"/>
      <c r="AG296" s="143"/>
      <c r="AH296" s="143"/>
      <c r="AI296" s="143"/>
      <c r="AJ296" s="143"/>
      <c r="AK296" s="44"/>
      <c r="AL296" s="44"/>
    </row>
    <row r="297" spans="1:38" ht="27.6" x14ac:dyDescent="0.25">
      <c r="A297" s="22"/>
      <c r="B297" s="265" t="s">
        <v>1059</v>
      </c>
      <c r="C297" s="266" t="s">
        <v>1502</v>
      </c>
      <c r="D297" s="265" t="s">
        <v>40</v>
      </c>
      <c r="E297" s="265" t="s">
        <v>1503</v>
      </c>
      <c r="F297" s="267" t="s">
        <v>44</v>
      </c>
      <c r="G297" s="277">
        <v>21</v>
      </c>
      <c r="H297" s="268">
        <v>20.91</v>
      </c>
      <c r="I297" s="287">
        <v>10.36</v>
      </c>
      <c r="J297" s="268">
        <v>13.14</v>
      </c>
      <c r="K297" s="292">
        <v>10.55</v>
      </c>
      <c r="L297" s="268">
        <v>13.38</v>
      </c>
      <c r="M297" s="268">
        <v>26.52</v>
      </c>
      <c r="N297" s="268">
        <v>275.94</v>
      </c>
      <c r="O297" s="268">
        <v>280.98</v>
      </c>
      <c r="P297" s="268">
        <v>556.91999999999996</v>
      </c>
      <c r="Q297" s="269">
        <v>2.0000000000000001E-4</v>
      </c>
      <c r="R297" s="44"/>
      <c r="S297" s="49">
        <f t="shared" si="4"/>
        <v>439.11</v>
      </c>
      <c r="T297" s="143"/>
      <c r="U297" s="143"/>
      <c r="V297" s="143"/>
      <c r="W297" s="143"/>
      <c r="X297" s="143"/>
      <c r="Y297" s="143"/>
      <c r="Z297" s="143"/>
      <c r="AA297" s="143"/>
      <c r="AB297" s="143"/>
      <c r="AC297" s="143"/>
      <c r="AD297" s="143"/>
      <c r="AE297" s="143"/>
      <c r="AF297" s="143"/>
      <c r="AG297" s="143"/>
      <c r="AH297" s="143"/>
      <c r="AI297" s="143"/>
      <c r="AJ297" s="143"/>
      <c r="AK297" s="44"/>
      <c r="AL297" s="44"/>
    </row>
    <row r="298" spans="1:38" x14ac:dyDescent="0.25">
      <c r="A298" s="22"/>
      <c r="B298" s="265" t="s">
        <v>1064</v>
      </c>
      <c r="C298" s="266" t="s">
        <v>679</v>
      </c>
      <c r="D298" s="265" t="s">
        <v>51</v>
      </c>
      <c r="E298" s="265" t="s">
        <v>680</v>
      </c>
      <c r="F298" s="267" t="s">
        <v>342</v>
      </c>
      <c r="G298" s="277">
        <v>67</v>
      </c>
      <c r="H298" s="268">
        <v>4.8</v>
      </c>
      <c r="I298" s="287">
        <v>3.22</v>
      </c>
      <c r="J298" s="268">
        <v>4.09</v>
      </c>
      <c r="K298" s="292">
        <v>1.58</v>
      </c>
      <c r="L298" s="268">
        <v>2</v>
      </c>
      <c r="M298" s="268">
        <v>6.09</v>
      </c>
      <c r="N298" s="268">
        <v>274.02999999999997</v>
      </c>
      <c r="O298" s="268">
        <v>134</v>
      </c>
      <c r="P298" s="268">
        <v>408.03</v>
      </c>
      <c r="Q298" s="269">
        <v>2.0000000000000001E-4</v>
      </c>
      <c r="R298" s="44"/>
      <c r="S298" s="49">
        <f t="shared" si="4"/>
        <v>321.60000000000002</v>
      </c>
      <c r="T298" s="143"/>
      <c r="U298" s="143"/>
      <c r="V298" s="143"/>
      <c r="W298" s="143"/>
      <c r="X298" s="143"/>
      <c r="Y298" s="143"/>
      <c r="Z298" s="143"/>
      <c r="AA298" s="143"/>
      <c r="AB298" s="143"/>
      <c r="AC298" s="143"/>
      <c r="AD298" s="143"/>
      <c r="AE298" s="143"/>
      <c r="AF298" s="143"/>
      <c r="AG298" s="143"/>
      <c r="AH298" s="143"/>
      <c r="AI298" s="143"/>
      <c r="AJ298" s="143"/>
      <c r="AK298" s="44"/>
      <c r="AL298" s="44"/>
    </row>
    <row r="299" spans="1:38" x14ac:dyDescent="0.25">
      <c r="A299" s="22"/>
      <c r="B299" s="265" t="s">
        <v>1067</v>
      </c>
      <c r="C299" s="266" t="s">
        <v>684</v>
      </c>
      <c r="D299" s="265" t="s">
        <v>51</v>
      </c>
      <c r="E299" s="265" t="s">
        <v>685</v>
      </c>
      <c r="F299" s="267" t="s">
        <v>44</v>
      </c>
      <c r="G299" s="277">
        <v>67</v>
      </c>
      <c r="H299" s="268">
        <v>4.96</v>
      </c>
      <c r="I299" s="287">
        <v>0.59</v>
      </c>
      <c r="J299" s="268">
        <v>0.75</v>
      </c>
      <c r="K299" s="292">
        <v>4.37</v>
      </c>
      <c r="L299" s="268">
        <v>5.54</v>
      </c>
      <c r="M299" s="268">
        <v>6.29</v>
      </c>
      <c r="N299" s="268">
        <v>50.25</v>
      </c>
      <c r="O299" s="268">
        <v>371.18</v>
      </c>
      <c r="P299" s="268">
        <v>421.43</v>
      </c>
      <c r="Q299" s="269">
        <v>2.0000000000000001E-4</v>
      </c>
      <c r="R299" s="44"/>
      <c r="S299" s="49">
        <f t="shared" si="4"/>
        <v>332.32</v>
      </c>
      <c r="T299" s="143"/>
      <c r="U299" s="143"/>
      <c r="V299" s="143"/>
      <c r="W299" s="143"/>
      <c r="X299" s="143"/>
      <c r="Y299" s="143"/>
      <c r="Z299" s="143"/>
      <c r="AA299" s="143"/>
      <c r="AB299" s="143"/>
      <c r="AC299" s="143"/>
      <c r="AD299" s="143"/>
      <c r="AE299" s="143"/>
      <c r="AF299" s="143"/>
      <c r="AG299" s="143"/>
      <c r="AH299" s="143"/>
      <c r="AI299" s="143"/>
      <c r="AJ299" s="143"/>
      <c r="AK299" s="44"/>
      <c r="AL299" s="44"/>
    </row>
    <row r="300" spans="1:38" ht="27.6" x14ac:dyDescent="0.25">
      <c r="A300" s="22"/>
      <c r="B300" s="265" t="s">
        <v>1085</v>
      </c>
      <c r="C300" s="266" t="s">
        <v>215</v>
      </c>
      <c r="D300" s="265" t="s">
        <v>40</v>
      </c>
      <c r="E300" s="265" t="s">
        <v>216</v>
      </c>
      <c r="F300" s="267" t="s">
        <v>44</v>
      </c>
      <c r="G300" s="277">
        <v>11</v>
      </c>
      <c r="H300" s="268">
        <v>31.88</v>
      </c>
      <c r="I300" s="287">
        <v>15.09</v>
      </c>
      <c r="J300" s="268">
        <v>19.14</v>
      </c>
      <c r="K300" s="292">
        <v>16.79</v>
      </c>
      <c r="L300" s="268">
        <v>21.3</v>
      </c>
      <c r="M300" s="268">
        <v>40.44</v>
      </c>
      <c r="N300" s="268">
        <v>210.54</v>
      </c>
      <c r="O300" s="268">
        <v>234.3</v>
      </c>
      <c r="P300" s="268">
        <v>444.84</v>
      </c>
      <c r="Q300" s="269">
        <v>2.0000000000000001E-4</v>
      </c>
      <c r="R300" s="44"/>
      <c r="S300" s="49">
        <f t="shared" si="4"/>
        <v>350.68</v>
      </c>
      <c r="T300" s="143"/>
      <c r="U300" s="143"/>
      <c r="V300" s="143"/>
      <c r="W300" s="143"/>
      <c r="X300" s="143"/>
      <c r="Y300" s="143"/>
      <c r="Z300" s="143"/>
      <c r="AA300" s="143"/>
      <c r="AB300" s="143"/>
      <c r="AC300" s="143"/>
      <c r="AD300" s="143"/>
      <c r="AE300" s="143"/>
      <c r="AF300" s="143"/>
      <c r="AG300" s="143"/>
      <c r="AH300" s="143"/>
      <c r="AI300" s="143"/>
      <c r="AJ300" s="143"/>
      <c r="AK300" s="44"/>
      <c r="AL300" s="44"/>
    </row>
    <row r="301" spans="1:38" x14ac:dyDescent="0.25">
      <c r="A301" s="55"/>
      <c r="B301" s="265" t="s">
        <v>1089</v>
      </c>
      <c r="C301" s="266" t="s">
        <v>692</v>
      </c>
      <c r="D301" s="265" t="s">
        <v>51</v>
      </c>
      <c r="E301" s="265" t="s">
        <v>693</v>
      </c>
      <c r="F301" s="267" t="s">
        <v>44</v>
      </c>
      <c r="G301" s="277">
        <v>38</v>
      </c>
      <c r="H301" s="268">
        <v>11.09</v>
      </c>
      <c r="I301" s="287">
        <v>5.99</v>
      </c>
      <c r="J301" s="268">
        <v>7.6</v>
      </c>
      <c r="K301" s="292">
        <v>5.0999999999999996</v>
      </c>
      <c r="L301" s="268">
        <v>6.47</v>
      </c>
      <c r="M301" s="268">
        <v>14.07</v>
      </c>
      <c r="N301" s="268">
        <v>288.8</v>
      </c>
      <c r="O301" s="268">
        <v>245.86</v>
      </c>
      <c r="P301" s="268">
        <v>534.66</v>
      </c>
      <c r="Q301" s="269">
        <v>2.0000000000000001E-4</v>
      </c>
      <c r="R301" s="44"/>
      <c r="S301" s="49">
        <f t="shared" si="4"/>
        <v>421.42</v>
      </c>
      <c r="T301" s="44"/>
      <c r="U301" s="44"/>
      <c r="V301" s="44"/>
      <c r="W301" s="44"/>
      <c r="X301" s="44"/>
      <c r="Y301" s="44"/>
      <c r="Z301" s="44"/>
      <c r="AA301" s="44"/>
      <c r="AB301" s="44"/>
      <c r="AC301" s="44"/>
      <c r="AD301" s="44"/>
      <c r="AE301" s="44"/>
      <c r="AF301" s="44"/>
      <c r="AG301" s="44"/>
      <c r="AH301" s="44"/>
      <c r="AI301" s="44"/>
      <c r="AJ301" s="44"/>
      <c r="AK301" s="44"/>
      <c r="AL301" s="44"/>
    </row>
    <row r="302" spans="1:38" x14ac:dyDescent="0.25">
      <c r="A302" s="55"/>
      <c r="B302" s="265" t="s">
        <v>1093</v>
      </c>
      <c r="C302" s="266" t="s">
        <v>1518</v>
      </c>
      <c r="D302" s="265" t="s">
        <v>51</v>
      </c>
      <c r="E302" s="265" t="s">
        <v>1519</v>
      </c>
      <c r="F302" s="267" t="s">
        <v>44</v>
      </c>
      <c r="G302" s="277">
        <v>21</v>
      </c>
      <c r="H302" s="268">
        <v>19.23</v>
      </c>
      <c r="I302" s="287">
        <v>6.24</v>
      </c>
      <c r="J302" s="268">
        <v>7.92</v>
      </c>
      <c r="K302" s="292">
        <v>12.99</v>
      </c>
      <c r="L302" s="268">
        <v>16.48</v>
      </c>
      <c r="M302" s="268">
        <v>24.4</v>
      </c>
      <c r="N302" s="268">
        <v>166.32</v>
      </c>
      <c r="O302" s="268">
        <v>346.08</v>
      </c>
      <c r="P302" s="268">
        <v>512.4</v>
      </c>
      <c r="Q302" s="269">
        <v>2.0000000000000001E-4</v>
      </c>
      <c r="R302" s="44"/>
      <c r="S302" s="49">
        <f t="shared" si="4"/>
        <v>403.83</v>
      </c>
      <c r="T302" s="44"/>
      <c r="U302" s="44"/>
      <c r="V302" s="44"/>
      <c r="W302" s="44"/>
      <c r="X302" s="44"/>
      <c r="Y302" s="44"/>
      <c r="Z302" s="44"/>
      <c r="AA302" s="44"/>
      <c r="AB302" s="44"/>
      <c r="AC302" s="44"/>
      <c r="AD302" s="44"/>
      <c r="AE302" s="44"/>
      <c r="AF302" s="44"/>
      <c r="AG302" s="44"/>
      <c r="AH302" s="44"/>
      <c r="AI302" s="44"/>
      <c r="AJ302" s="44"/>
      <c r="AK302" s="44"/>
      <c r="AL302" s="44"/>
    </row>
    <row r="303" spans="1:38" ht="27.6" x14ac:dyDescent="0.25">
      <c r="A303" s="55"/>
      <c r="B303" s="265" t="s">
        <v>1305</v>
      </c>
      <c r="C303" s="266" t="s">
        <v>703</v>
      </c>
      <c r="D303" s="265" t="s">
        <v>40</v>
      </c>
      <c r="E303" s="265" t="s">
        <v>704</v>
      </c>
      <c r="F303" s="267" t="s">
        <v>44</v>
      </c>
      <c r="G303" s="277">
        <v>15</v>
      </c>
      <c r="H303" s="268">
        <v>23.15</v>
      </c>
      <c r="I303" s="287">
        <v>10.75</v>
      </c>
      <c r="J303" s="268">
        <v>13.64</v>
      </c>
      <c r="K303" s="292">
        <v>12.4</v>
      </c>
      <c r="L303" s="268">
        <v>15.73</v>
      </c>
      <c r="M303" s="268">
        <v>29.37</v>
      </c>
      <c r="N303" s="268">
        <v>204.6</v>
      </c>
      <c r="O303" s="268">
        <v>235.95</v>
      </c>
      <c r="P303" s="268">
        <v>440.55</v>
      </c>
      <c r="Q303" s="269">
        <v>2.0000000000000001E-4</v>
      </c>
      <c r="R303" s="44"/>
      <c r="S303" s="49">
        <f t="shared" si="4"/>
        <v>347.25</v>
      </c>
      <c r="T303" s="44"/>
      <c r="U303" s="44"/>
      <c r="V303" s="44"/>
      <c r="W303" s="44"/>
      <c r="X303" s="44"/>
      <c r="Y303" s="44"/>
      <c r="Z303" s="44"/>
      <c r="AA303" s="44"/>
      <c r="AB303" s="44"/>
      <c r="AC303" s="44"/>
      <c r="AD303" s="44"/>
      <c r="AE303" s="44"/>
      <c r="AF303" s="44"/>
      <c r="AG303" s="44"/>
      <c r="AH303" s="44"/>
      <c r="AI303" s="44"/>
      <c r="AJ303" s="44"/>
      <c r="AK303" s="44"/>
      <c r="AL303" s="44"/>
    </row>
    <row r="304" spans="1:38" ht="27.6" x14ac:dyDescent="0.25">
      <c r="A304" s="55"/>
      <c r="B304" s="265" t="s">
        <v>1308</v>
      </c>
      <c r="C304" s="266" t="s">
        <v>1528</v>
      </c>
      <c r="D304" s="265" t="s">
        <v>40</v>
      </c>
      <c r="E304" s="265" t="s">
        <v>1529</v>
      </c>
      <c r="F304" s="267" t="s">
        <v>44</v>
      </c>
      <c r="G304" s="277">
        <v>2</v>
      </c>
      <c r="H304" s="268">
        <v>186.06</v>
      </c>
      <c r="I304" s="287">
        <v>26.53</v>
      </c>
      <c r="J304" s="268">
        <v>33.659999999999997</v>
      </c>
      <c r="K304" s="292">
        <v>159.53</v>
      </c>
      <c r="L304" s="268">
        <v>202.4</v>
      </c>
      <c r="M304" s="268">
        <v>236.06</v>
      </c>
      <c r="N304" s="268">
        <v>67.319999999999993</v>
      </c>
      <c r="O304" s="268">
        <v>404.8</v>
      </c>
      <c r="P304" s="268">
        <v>472.12</v>
      </c>
      <c r="Q304" s="269">
        <v>2.0000000000000001E-4</v>
      </c>
      <c r="R304" s="44"/>
      <c r="S304" s="49">
        <f t="shared" si="4"/>
        <v>372.12</v>
      </c>
      <c r="T304" s="44"/>
      <c r="U304" s="44"/>
      <c r="V304" s="44"/>
      <c r="W304" s="44"/>
      <c r="X304" s="44"/>
      <c r="Y304" s="44"/>
      <c r="Z304" s="44"/>
      <c r="AA304" s="44"/>
      <c r="AB304" s="44"/>
      <c r="AC304" s="44"/>
      <c r="AD304" s="44"/>
      <c r="AE304" s="44"/>
      <c r="AF304" s="44"/>
      <c r="AG304" s="44"/>
      <c r="AH304" s="44"/>
      <c r="AI304" s="44"/>
      <c r="AJ304" s="44"/>
      <c r="AK304" s="44"/>
      <c r="AL304" s="44"/>
    </row>
    <row r="305" spans="1:38" x14ac:dyDescent="0.25">
      <c r="A305" s="55"/>
      <c r="B305" s="265" t="s">
        <v>1313</v>
      </c>
      <c r="C305" s="266">
        <v>93662</v>
      </c>
      <c r="D305" s="265" t="s">
        <v>40</v>
      </c>
      <c r="E305" s="265" t="s">
        <v>217</v>
      </c>
      <c r="F305" s="267" t="s">
        <v>44</v>
      </c>
      <c r="G305" s="277">
        <v>5</v>
      </c>
      <c r="H305" s="268">
        <v>75.209999999999994</v>
      </c>
      <c r="I305" s="287">
        <v>4.4800000000000004</v>
      </c>
      <c r="J305" s="268">
        <v>5.68</v>
      </c>
      <c r="K305" s="292">
        <v>70.73</v>
      </c>
      <c r="L305" s="268">
        <v>89.74</v>
      </c>
      <c r="M305" s="268">
        <v>95.42</v>
      </c>
      <c r="N305" s="268">
        <v>28.4</v>
      </c>
      <c r="O305" s="268">
        <v>448.7</v>
      </c>
      <c r="P305" s="268">
        <v>477.1</v>
      </c>
      <c r="Q305" s="269">
        <v>2.0000000000000001E-4</v>
      </c>
      <c r="R305" s="44"/>
      <c r="S305" s="49">
        <f t="shared" si="4"/>
        <v>376.05</v>
      </c>
      <c r="T305" s="44"/>
      <c r="U305" s="44"/>
      <c r="V305" s="44"/>
      <c r="W305" s="44"/>
      <c r="X305" s="44"/>
      <c r="Y305" s="44"/>
      <c r="Z305" s="44"/>
      <c r="AA305" s="44"/>
      <c r="AB305" s="44"/>
      <c r="AC305" s="44"/>
      <c r="AD305" s="44"/>
      <c r="AE305" s="44"/>
      <c r="AF305" s="44"/>
      <c r="AG305" s="44"/>
      <c r="AH305" s="44"/>
      <c r="AI305" s="44"/>
      <c r="AJ305" s="44"/>
      <c r="AK305" s="44"/>
      <c r="AL305" s="44"/>
    </row>
    <row r="306" spans="1:38" x14ac:dyDescent="0.25">
      <c r="A306" s="55"/>
      <c r="B306" s="265" t="s">
        <v>1333</v>
      </c>
      <c r="C306" s="266" t="s">
        <v>1550</v>
      </c>
      <c r="D306" s="265" t="s">
        <v>51</v>
      </c>
      <c r="E306" s="265" t="s">
        <v>1551</v>
      </c>
      <c r="F306" s="267" t="s">
        <v>44</v>
      </c>
      <c r="G306" s="277">
        <v>48</v>
      </c>
      <c r="H306" s="268">
        <v>8.99</v>
      </c>
      <c r="I306" s="287">
        <v>4.25</v>
      </c>
      <c r="J306" s="268">
        <v>5.39</v>
      </c>
      <c r="K306" s="292">
        <v>4.74</v>
      </c>
      <c r="L306" s="268">
        <v>6.01</v>
      </c>
      <c r="M306" s="268">
        <v>11.4</v>
      </c>
      <c r="N306" s="268">
        <v>258.72000000000003</v>
      </c>
      <c r="O306" s="268">
        <v>288.48</v>
      </c>
      <c r="P306" s="268">
        <v>547.20000000000005</v>
      </c>
      <c r="Q306" s="269">
        <v>2.0000000000000001E-4</v>
      </c>
      <c r="R306" s="44"/>
      <c r="S306" s="49">
        <f t="shared" si="4"/>
        <v>431.52</v>
      </c>
      <c r="T306" s="44"/>
      <c r="U306" s="44"/>
      <c r="V306" s="44"/>
      <c r="W306" s="44"/>
      <c r="X306" s="44"/>
      <c r="Y306" s="44"/>
      <c r="Z306" s="44"/>
      <c r="AA306" s="44"/>
      <c r="AB306" s="44"/>
      <c r="AC306" s="44"/>
      <c r="AD306" s="44"/>
      <c r="AE306" s="44"/>
      <c r="AF306" s="44"/>
      <c r="AG306" s="44"/>
      <c r="AH306" s="44"/>
      <c r="AI306" s="44"/>
      <c r="AJ306" s="44"/>
      <c r="AK306" s="44"/>
      <c r="AL306" s="44"/>
    </row>
    <row r="307" spans="1:38" ht="27.6" x14ac:dyDescent="0.25">
      <c r="A307" s="55"/>
      <c r="B307" s="265" t="s">
        <v>892</v>
      </c>
      <c r="C307" s="266" t="s">
        <v>394</v>
      </c>
      <c r="D307" s="265" t="s">
        <v>146</v>
      </c>
      <c r="E307" s="265" t="s">
        <v>1135</v>
      </c>
      <c r="F307" s="267" t="s">
        <v>168</v>
      </c>
      <c r="G307" s="277">
        <v>1</v>
      </c>
      <c r="H307" s="268">
        <v>390.9</v>
      </c>
      <c r="I307" s="287">
        <v>34.33</v>
      </c>
      <c r="J307" s="268">
        <v>43.55</v>
      </c>
      <c r="K307" s="292">
        <v>356.57</v>
      </c>
      <c r="L307" s="268">
        <v>452.38</v>
      </c>
      <c r="M307" s="268">
        <v>495.93</v>
      </c>
      <c r="N307" s="268">
        <v>43.55</v>
      </c>
      <c r="O307" s="268">
        <v>452.38</v>
      </c>
      <c r="P307" s="268">
        <v>495.93</v>
      </c>
      <c r="Q307" s="269">
        <v>2.0000000000000001E-4</v>
      </c>
      <c r="R307" s="44"/>
      <c r="S307" s="49">
        <f t="shared" si="4"/>
        <v>390.9</v>
      </c>
      <c r="T307" s="44"/>
      <c r="U307" s="44"/>
      <c r="V307" s="44"/>
      <c r="W307" s="44"/>
      <c r="X307" s="44"/>
      <c r="Y307" s="44"/>
      <c r="Z307" s="44"/>
      <c r="AA307" s="44"/>
      <c r="AB307" s="44"/>
      <c r="AC307" s="44"/>
      <c r="AD307" s="44"/>
      <c r="AE307" s="44"/>
      <c r="AF307" s="44"/>
      <c r="AG307" s="44"/>
      <c r="AH307" s="44"/>
      <c r="AI307" s="44"/>
      <c r="AJ307" s="44"/>
      <c r="AK307" s="44"/>
      <c r="AL307" s="44"/>
    </row>
    <row r="308" spans="1:38" ht="27.6" x14ac:dyDescent="0.25">
      <c r="A308" s="55"/>
      <c r="B308" s="265" t="s">
        <v>1109</v>
      </c>
      <c r="C308" s="266" t="s">
        <v>727</v>
      </c>
      <c r="D308" s="265" t="s">
        <v>40</v>
      </c>
      <c r="E308" s="265" t="s">
        <v>728</v>
      </c>
      <c r="F308" s="267" t="s">
        <v>44</v>
      </c>
      <c r="G308" s="277">
        <v>12</v>
      </c>
      <c r="H308" s="268">
        <v>41.29</v>
      </c>
      <c r="I308" s="287">
        <v>5.21</v>
      </c>
      <c r="J308" s="268">
        <v>6.61</v>
      </c>
      <c r="K308" s="292">
        <v>36.08</v>
      </c>
      <c r="L308" s="268">
        <v>45.77</v>
      </c>
      <c r="M308" s="268">
        <v>52.38</v>
      </c>
      <c r="N308" s="268">
        <v>79.319999999999993</v>
      </c>
      <c r="O308" s="268">
        <v>549.24</v>
      </c>
      <c r="P308" s="268">
        <v>628.55999999999995</v>
      </c>
      <c r="Q308" s="269">
        <v>2.0000000000000001E-4</v>
      </c>
      <c r="R308" s="44"/>
      <c r="S308" s="49">
        <f t="shared" si="4"/>
        <v>495.48</v>
      </c>
      <c r="T308" s="44"/>
      <c r="U308" s="44"/>
      <c r="V308" s="44"/>
      <c r="W308" s="44"/>
      <c r="X308" s="44"/>
      <c r="Y308" s="44"/>
      <c r="Z308" s="44"/>
      <c r="AA308" s="44"/>
      <c r="AB308" s="44"/>
      <c r="AC308" s="44"/>
      <c r="AD308" s="44"/>
      <c r="AE308" s="44"/>
      <c r="AF308" s="44"/>
      <c r="AG308" s="44"/>
      <c r="AH308" s="44"/>
      <c r="AI308" s="44"/>
      <c r="AJ308" s="44"/>
      <c r="AK308" s="44"/>
      <c r="AL308" s="44"/>
    </row>
    <row r="309" spans="1:38" x14ac:dyDescent="0.25">
      <c r="A309" s="55"/>
      <c r="B309" s="265" t="s">
        <v>1114</v>
      </c>
      <c r="C309" s="266" t="s">
        <v>729</v>
      </c>
      <c r="D309" s="265" t="s">
        <v>40</v>
      </c>
      <c r="E309" s="265" t="s">
        <v>730</v>
      </c>
      <c r="F309" s="267" t="s">
        <v>44</v>
      </c>
      <c r="G309" s="277">
        <v>2</v>
      </c>
      <c r="H309" s="268">
        <v>170.54</v>
      </c>
      <c r="I309" s="287">
        <v>5.63</v>
      </c>
      <c r="J309" s="268">
        <v>7.14</v>
      </c>
      <c r="K309" s="292">
        <v>164.91</v>
      </c>
      <c r="L309" s="268">
        <v>209.22</v>
      </c>
      <c r="M309" s="268">
        <v>216.36</v>
      </c>
      <c r="N309" s="268">
        <v>14.28</v>
      </c>
      <c r="O309" s="268">
        <v>418.44</v>
      </c>
      <c r="P309" s="268">
        <v>432.72</v>
      </c>
      <c r="Q309" s="269">
        <v>2.0000000000000001E-4</v>
      </c>
      <c r="R309" s="44"/>
      <c r="S309" s="49">
        <f t="shared" si="4"/>
        <v>341.08</v>
      </c>
      <c r="T309" s="44"/>
      <c r="U309" s="44"/>
      <c r="V309" s="44"/>
      <c r="W309" s="44"/>
      <c r="X309" s="44"/>
      <c r="Y309" s="44"/>
      <c r="Z309" s="44"/>
      <c r="AA309" s="44"/>
      <c r="AB309" s="44"/>
      <c r="AC309" s="44"/>
      <c r="AD309" s="44"/>
      <c r="AE309" s="44"/>
      <c r="AF309" s="44"/>
      <c r="AG309" s="44"/>
      <c r="AH309" s="44"/>
      <c r="AI309" s="44"/>
      <c r="AJ309" s="44"/>
      <c r="AK309" s="44"/>
      <c r="AL309" s="44"/>
    </row>
    <row r="310" spans="1:38" x14ac:dyDescent="0.25">
      <c r="A310" s="55"/>
      <c r="B310" s="265" t="s">
        <v>597</v>
      </c>
      <c r="C310" s="266" t="s">
        <v>881</v>
      </c>
      <c r="D310" s="265" t="s">
        <v>51</v>
      </c>
      <c r="E310" s="265" t="s">
        <v>882</v>
      </c>
      <c r="F310" s="267" t="s">
        <v>55</v>
      </c>
      <c r="G310" s="277">
        <v>12</v>
      </c>
      <c r="H310" s="268">
        <v>36.590000000000003</v>
      </c>
      <c r="I310" s="287">
        <v>12.12</v>
      </c>
      <c r="J310" s="268">
        <v>15.38</v>
      </c>
      <c r="K310" s="292">
        <v>24.47</v>
      </c>
      <c r="L310" s="268">
        <v>31.05</v>
      </c>
      <c r="M310" s="268">
        <v>46.43</v>
      </c>
      <c r="N310" s="268">
        <v>184.56</v>
      </c>
      <c r="O310" s="268">
        <v>372.6</v>
      </c>
      <c r="P310" s="268">
        <v>557.16</v>
      </c>
      <c r="Q310" s="269">
        <v>2.0000000000000001E-4</v>
      </c>
      <c r="R310" s="44"/>
      <c r="S310" s="49">
        <f t="shared" si="4"/>
        <v>439.08</v>
      </c>
      <c r="T310" s="44"/>
      <c r="U310" s="44"/>
      <c r="V310" s="44"/>
      <c r="W310" s="44"/>
      <c r="X310" s="44"/>
      <c r="Y310" s="44"/>
      <c r="Z310" s="44"/>
      <c r="AA310" s="44"/>
      <c r="AB310" s="44"/>
      <c r="AC310" s="44"/>
      <c r="AD310" s="44"/>
      <c r="AE310" s="44"/>
      <c r="AF310" s="44"/>
      <c r="AG310" s="44"/>
      <c r="AH310" s="44"/>
      <c r="AI310" s="44"/>
      <c r="AJ310" s="44"/>
      <c r="AK310" s="44"/>
      <c r="AL310" s="44"/>
    </row>
    <row r="311" spans="1:38" ht="27.6" x14ac:dyDescent="0.25">
      <c r="A311" s="55"/>
      <c r="B311" s="265" t="s">
        <v>604</v>
      </c>
      <c r="C311" s="266" t="s">
        <v>883</v>
      </c>
      <c r="D311" s="265" t="s">
        <v>40</v>
      </c>
      <c r="E311" s="265" t="s">
        <v>884</v>
      </c>
      <c r="F311" s="267" t="s">
        <v>55</v>
      </c>
      <c r="G311" s="277">
        <v>18</v>
      </c>
      <c r="H311" s="268">
        <v>25.03</v>
      </c>
      <c r="I311" s="287">
        <v>5.68</v>
      </c>
      <c r="J311" s="268">
        <v>7.21</v>
      </c>
      <c r="K311" s="292">
        <v>19.350000000000001</v>
      </c>
      <c r="L311" s="268">
        <v>24.55</v>
      </c>
      <c r="M311" s="268">
        <v>31.76</v>
      </c>
      <c r="N311" s="268">
        <v>129.78</v>
      </c>
      <c r="O311" s="268">
        <v>441.9</v>
      </c>
      <c r="P311" s="268">
        <v>571.67999999999995</v>
      </c>
      <c r="Q311" s="269">
        <v>2.0000000000000001E-4</v>
      </c>
      <c r="R311" s="44"/>
      <c r="S311" s="49">
        <f t="shared" si="4"/>
        <v>450.54</v>
      </c>
      <c r="T311" s="44"/>
      <c r="U311" s="44"/>
      <c r="V311" s="44"/>
      <c r="W311" s="44"/>
      <c r="X311" s="44"/>
      <c r="Y311" s="44"/>
      <c r="Z311" s="44"/>
      <c r="AA311" s="44"/>
      <c r="AB311" s="44"/>
      <c r="AC311" s="44"/>
      <c r="AD311" s="44"/>
      <c r="AE311" s="44"/>
      <c r="AF311" s="44"/>
      <c r="AG311" s="44"/>
      <c r="AH311" s="44"/>
      <c r="AI311" s="44"/>
      <c r="AJ311" s="44"/>
      <c r="AK311" s="44"/>
      <c r="AL311" s="44"/>
    </row>
    <row r="312" spans="1:38" ht="27.6" x14ac:dyDescent="0.25">
      <c r="A312" s="55"/>
      <c r="B312" s="265" t="s">
        <v>1337</v>
      </c>
      <c r="C312" s="266" t="s">
        <v>718</v>
      </c>
      <c r="D312" s="265" t="s">
        <v>40</v>
      </c>
      <c r="E312" s="265" t="s">
        <v>719</v>
      </c>
      <c r="F312" s="267" t="s">
        <v>55</v>
      </c>
      <c r="G312" s="277">
        <v>16</v>
      </c>
      <c r="H312" s="268">
        <v>30.07</v>
      </c>
      <c r="I312" s="287">
        <v>4.3499999999999996</v>
      </c>
      <c r="J312" s="268">
        <v>5.52</v>
      </c>
      <c r="K312" s="292">
        <v>25.72</v>
      </c>
      <c r="L312" s="268">
        <v>32.630000000000003</v>
      </c>
      <c r="M312" s="268">
        <v>38.15</v>
      </c>
      <c r="N312" s="268">
        <v>88.32</v>
      </c>
      <c r="O312" s="268">
        <v>522.08000000000004</v>
      </c>
      <c r="P312" s="268">
        <v>610.4</v>
      </c>
      <c r="Q312" s="269">
        <v>2.0000000000000001E-4</v>
      </c>
      <c r="R312" s="44"/>
      <c r="S312" s="49">
        <f t="shared" si="4"/>
        <v>481.12</v>
      </c>
      <c r="T312" s="44"/>
      <c r="U312" s="44"/>
      <c r="V312" s="44"/>
      <c r="W312" s="44"/>
      <c r="X312" s="44"/>
      <c r="Y312" s="44"/>
      <c r="Z312" s="44"/>
      <c r="AA312" s="44"/>
      <c r="AB312" s="44"/>
      <c r="AC312" s="44"/>
      <c r="AD312" s="44"/>
      <c r="AE312" s="44"/>
      <c r="AF312" s="44"/>
      <c r="AG312" s="44"/>
      <c r="AH312" s="44"/>
      <c r="AI312" s="44"/>
      <c r="AJ312" s="44"/>
      <c r="AK312" s="44"/>
      <c r="AL312" s="44"/>
    </row>
    <row r="313" spans="1:38" x14ac:dyDescent="0.25">
      <c r="A313" s="55"/>
      <c r="B313" s="265" t="s">
        <v>508</v>
      </c>
      <c r="C313" s="266" t="s">
        <v>45</v>
      </c>
      <c r="D313" s="265" t="s">
        <v>40</v>
      </c>
      <c r="E313" s="265" t="s">
        <v>985</v>
      </c>
      <c r="F313" s="267" t="s">
        <v>44</v>
      </c>
      <c r="G313" s="277">
        <v>1</v>
      </c>
      <c r="H313" s="268">
        <v>110.31</v>
      </c>
      <c r="I313" s="292">
        <v>14.3</v>
      </c>
      <c r="J313" s="268">
        <v>18.14</v>
      </c>
      <c r="K313" s="292">
        <v>96.01</v>
      </c>
      <c r="L313" s="268">
        <v>121.81</v>
      </c>
      <c r="M313" s="268">
        <v>139.94999999999999</v>
      </c>
      <c r="N313" s="268">
        <v>18.14</v>
      </c>
      <c r="O313" s="268">
        <v>121.81</v>
      </c>
      <c r="P313" s="268">
        <v>139.94999999999999</v>
      </c>
      <c r="Q313" s="269">
        <v>1E-4</v>
      </c>
      <c r="R313" s="44"/>
      <c r="S313" s="49">
        <f t="shared" si="4"/>
        <v>110.31</v>
      </c>
      <c r="T313" s="44"/>
      <c r="U313" s="44"/>
      <c r="V313" s="44"/>
      <c r="W313" s="44"/>
      <c r="X313" s="44"/>
      <c r="Y313" s="44"/>
      <c r="Z313" s="44"/>
      <c r="AA313" s="44"/>
      <c r="AB313" s="44"/>
      <c r="AC313" s="44"/>
      <c r="AD313" s="44"/>
      <c r="AE313" s="44"/>
      <c r="AF313" s="44"/>
      <c r="AG313" s="44"/>
      <c r="AH313" s="44"/>
      <c r="AI313" s="44"/>
      <c r="AJ313" s="44"/>
      <c r="AK313" s="44"/>
      <c r="AL313" s="44"/>
    </row>
    <row r="314" spans="1:38" ht="27.6" x14ac:dyDescent="0.25">
      <c r="A314" s="55"/>
      <c r="B314" s="265" t="s">
        <v>105</v>
      </c>
      <c r="C314" s="266" t="s">
        <v>106</v>
      </c>
      <c r="D314" s="265" t="s">
        <v>40</v>
      </c>
      <c r="E314" s="265" t="s">
        <v>107</v>
      </c>
      <c r="F314" s="267" t="s">
        <v>65</v>
      </c>
      <c r="G314" s="277">
        <v>18.7</v>
      </c>
      <c r="H314" s="268">
        <v>13.43</v>
      </c>
      <c r="I314" s="287">
        <v>2.2599999999999998</v>
      </c>
      <c r="J314" s="268">
        <v>2.87</v>
      </c>
      <c r="K314" s="292">
        <v>11.17</v>
      </c>
      <c r="L314" s="268">
        <v>14.17</v>
      </c>
      <c r="M314" s="268">
        <v>17.04</v>
      </c>
      <c r="N314" s="268">
        <v>53.67</v>
      </c>
      <c r="O314" s="268">
        <v>264.98</v>
      </c>
      <c r="P314" s="268">
        <v>318.64999999999998</v>
      </c>
      <c r="Q314" s="269">
        <v>1E-4</v>
      </c>
      <c r="R314" s="44"/>
      <c r="S314" s="49">
        <f t="shared" si="4"/>
        <v>251.14</v>
      </c>
      <c r="T314" s="44"/>
      <c r="U314" s="44"/>
      <c r="V314" s="44"/>
      <c r="W314" s="44"/>
      <c r="X314" s="44"/>
      <c r="Y314" s="44"/>
      <c r="Z314" s="44"/>
      <c r="AA314" s="44"/>
      <c r="AB314" s="44"/>
      <c r="AC314" s="44"/>
      <c r="AD314" s="44"/>
      <c r="AE314" s="44"/>
      <c r="AF314" s="44"/>
      <c r="AG314" s="44"/>
      <c r="AH314" s="44"/>
      <c r="AI314" s="44"/>
      <c r="AJ314" s="44"/>
      <c r="AK314" s="44"/>
      <c r="AL314" s="44"/>
    </row>
    <row r="315" spans="1:38" ht="27.6" x14ac:dyDescent="0.25">
      <c r="A315" s="55"/>
      <c r="B315" s="265" t="s">
        <v>532</v>
      </c>
      <c r="C315" s="266" t="s">
        <v>272</v>
      </c>
      <c r="D315" s="265" t="s">
        <v>40</v>
      </c>
      <c r="E315" s="265" t="s">
        <v>273</v>
      </c>
      <c r="F315" s="267" t="s">
        <v>41</v>
      </c>
      <c r="G315" s="277">
        <v>0.4</v>
      </c>
      <c r="H315" s="268">
        <v>317.23</v>
      </c>
      <c r="I315" s="287">
        <v>56.94</v>
      </c>
      <c r="J315" s="268">
        <v>72.239999999999995</v>
      </c>
      <c r="K315" s="292">
        <v>260.29000000000002</v>
      </c>
      <c r="L315" s="268">
        <v>330.23</v>
      </c>
      <c r="M315" s="268">
        <v>402.47</v>
      </c>
      <c r="N315" s="268">
        <v>28.9</v>
      </c>
      <c r="O315" s="268">
        <v>132.09</v>
      </c>
      <c r="P315" s="268">
        <v>160.99</v>
      </c>
      <c r="Q315" s="269">
        <v>1E-4</v>
      </c>
      <c r="R315" s="44"/>
      <c r="S315" s="49">
        <f t="shared" si="4"/>
        <v>126.89</v>
      </c>
      <c r="T315" s="44"/>
      <c r="U315" s="44"/>
      <c r="V315" s="44"/>
      <c r="W315" s="44"/>
      <c r="X315" s="44"/>
      <c r="Y315" s="44"/>
      <c r="Z315" s="44"/>
      <c r="AA315" s="44"/>
      <c r="AB315" s="44"/>
      <c r="AC315" s="44"/>
      <c r="AD315" s="44"/>
      <c r="AE315" s="44"/>
      <c r="AF315" s="44"/>
      <c r="AG315" s="44"/>
      <c r="AH315" s="44"/>
      <c r="AI315" s="44"/>
      <c r="AJ315" s="44"/>
      <c r="AK315" s="44"/>
      <c r="AL315" s="44"/>
    </row>
    <row r="316" spans="1:38" x14ac:dyDescent="0.25">
      <c r="A316" s="55"/>
      <c r="B316" s="265" t="s">
        <v>1457</v>
      </c>
      <c r="C316" s="266" t="s">
        <v>1458</v>
      </c>
      <c r="D316" s="265" t="s">
        <v>51</v>
      </c>
      <c r="E316" s="265" t="s">
        <v>1459</v>
      </c>
      <c r="F316" s="267" t="s">
        <v>41</v>
      </c>
      <c r="G316" s="277">
        <v>1.58</v>
      </c>
      <c r="H316" s="268">
        <v>102.55</v>
      </c>
      <c r="I316" s="287">
        <v>29.28</v>
      </c>
      <c r="J316" s="268">
        <v>37.15</v>
      </c>
      <c r="K316" s="292">
        <v>73.27</v>
      </c>
      <c r="L316" s="268">
        <v>92.96</v>
      </c>
      <c r="M316" s="268">
        <v>130.11000000000001</v>
      </c>
      <c r="N316" s="268">
        <v>58.7</v>
      </c>
      <c r="O316" s="268">
        <v>146.88</v>
      </c>
      <c r="P316" s="268">
        <v>205.58</v>
      </c>
      <c r="Q316" s="269">
        <v>1E-4</v>
      </c>
      <c r="R316" s="44"/>
      <c r="S316" s="49">
        <f t="shared" si="4"/>
        <v>162.03</v>
      </c>
      <c r="T316" s="44"/>
      <c r="U316" s="44"/>
      <c r="V316" s="44"/>
      <c r="W316" s="44"/>
      <c r="X316" s="44"/>
      <c r="Y316" s="44"/>
      <c r="Z316" s="44"/>
      <c r="AA316" s="44"/>
      <c r="AB316" s="44"/>
      <c r="AC316" s="44"/>
      <c r="AD316" s="44"/>
      <c r="AE316" s="44"/>
      <c r="AF316" s="44"/>
      <c r="AG316" s="44"/>
      <c r="AH316" s="44"/>
      <c r="AI316" s="44"/>
      <c r="AJ316" s="44"/>
      <c r="AK316" s="44"/>
      <c r="AL316" s="44"/>
    </row>
    <row r="317" spans="1:38" x14ac:dyDescent="0.25">
      <c r="A317" s="55"/>
      <c r="B317" s="265" t="s">
        <v>825</v>
      </c>
      <c r="C317" s="266" t="s">
        <v>830</v>
      </c>
      <c r="D317" s="265" t="s">
        <v>51</v>
      </c>
      <c r="E317" s="265" t="s">
        <v>831</v>
      </c>
      <c r="F317" s="267" t="s">
        <v>41</v>
      </c>
      <c r="G317" s="277">
        <v>0.45</v>
      </c>
      <c r="H317" s="268">
        <v>618.96</v>
      </c>
      <c r="I317" s="287">
        <v>170.82</v>
      </c>
      <c r="J317" s="268">
        <v>216.72</v>
      </c>
      <c r="K317" s="292">
        <v>448.14</v>
      </c>
      <c r="L317" s="268">
        <v>568.55999999999995</v>
      </c>
      <c r="M317" s="268">
        <v>785.28</v>
      </c>
      <c r="N317" s="268">
        <v>97.52</v>
      </c>
      <c r="O317" s="268">
        <v>255.85</v>
      </c>
      <c r="P317" s="268">
        <v>353.37</v>
      </c>
      <c r="Q317" s="269">
        <v>1E-4</v>
      </c>
      <c r="R317" s="44"/>
      <c r="S317" s="49">
        <f t="shared" si="4"/>
        <v>278.52999999999997</v>
      </c>
      <c r="T317" s="44"/>
      <c r="U317" s="44"/>
      <c r="V317" s="44"/>
      <c r="W317" s="44"/>
      <c r="X317" s="44"/>
      <c r="Y317" s="44"/>
      <c r="Z317" s="44"/>
      <c r="AA317" s="44"/>
      <c r="AB317" s="44"/>
      <c r="AC317" s="44"/>
      <c r="AD317" s="44"/>
      <c r="AE317" s="44"/>
      <c r="AF317" s="44"/>
      <c r="AG317" s="44"/>
      <c r="AH317" s="44"/>
      <c r="AI317" s="44"/>
      <c r="AJ317" s="44"/>
      <c r="AK317" s="44"/>
      <c r="AL317" s="44"/>
    </row>
    <row r="318" spans="1:38" x14ac:dyDescent="0.25">
      <c r="A318" s="55"/>
      <c r="B318" s="265" t="s">
        <v>1055</v>
      </c>
      <c r="C318" s="266" t="s">
        <v>1469</v>
      </c>
      <c r="D318" s="265" t="s">
        <v>584</v>
      </c>
      <c r="E318" s="265" t="s">
        <v>1470</v>
      </c>
      <c r="F318" s="267" t="s">
        <v>585</v>
      </c>
      <c r="G318" s="277">
        <v>1</v>
      </c>
      <c r="H318" s="268">
        <v>153.41999999999999</v>
      </c>
      <c r="I318" s="287">
        <v>33.58</v>
      </c>
      <c r="J318" s="268">
        <v>42.6</v>
      </c>
      <c r="K318" s="292">
        <v>119.84</v>
      </c>
      <c r="L318" s="268">
        <v>152.04</v>
      </c>
      <c r="M318" s="268">
        <v>194.64</v>
      </c>
      <c r="N318" s="268">
        <v>42.6</v>
      </c>
      <c r="O318" s="268">
        <v>152.04</v>
      </c>
      <c r="P318" s="268">
        <v>194.64</v>
      </c>
      <c r="Q318" s="269">
        <v>1E-4</v>
      </c>
      <c r="R318" s="44"/>
      <c r="S318" s="49">
        <f t="shared" si="4"/>
        <v>153.41999999999999</v>
      </c>
      <c r="T318" s="44"/>
      <c r="U318" s="44"/>
      <c r="V318" s="44"/>
      <c r="W318" s="44"/>
      <c r="X318" s="44"/>
      <c r="Y318" s="44"/>
      <c r="Z318" s="44"/>
      <c r="AA318" s="44"/>
      <c r="AB318" s="44"/>
      <c r="AC318" s="44"/>
      <c r="AD318" s="44"/>
      <c r="AE318" s="44"/>
      <c r="AF318" s="44"/>
      <c r="AG318" s="44"/>
      <c r="AH318" s="44"/>
      <c r="AI318" s="44"/>
      <c r="AJ318" s="44"/>
      <c r="AK318" s="44"/>
      <c r="AL318" s="44"/>
    </row>
    <row r="319" spans="1:38" ht="27.6" x14ac:dyDescent="0.25">
      <c r="A319" s="55"/>
      <c r="B319" s="265" t="s">
        <v>1203</v>
      </c>
      <c r="C319" s="266" t="s">
        <v>609</v>
      </c>
      <c r="D319" s="265" t="s">
        <v>40</v>
      </c>
      <c r="E319" s="265" t="s">
        <v>610</v>
      </c>
      <c r="F319" s="267" t="s">
        <v>44</v>
      </c>
      <c r="G319" s="277">
        <v>5</v>
      </c>
      <c r="H319" s="268">
        <v>27.76</v>
      </c>
      <c r="I319" s="287">
        <v>8.65</v>
      </c>
      <c r="J319" s="268">
        <v>10.97</v>
      </c>
      <c r="K319" s="292">
        <v>19.11</v>
      </c>
      <c r="L319" s="268">
        <v>24.24</v>
      </c>
      <c r="M319" s="268">
        <v>35.21</v>
      </c>
      <c r="N319" s="268">
        <v>54.85</v>
      </c>
      <c r="O319" s="268">
        <v>121.2</v>
      </c>
      <c r="P319" s="268">
        <v>176.05</v>
      </c>
      <c r="Q319" s="269">
        <v>1E-4</v>
      </c>
      <c r="R319" s="44"/>
      <c r="S319" s="49">
        <f t="shared" si="4"/>
        <v>138.80000000000001</v>
      </c>
      <c r="T319" s="44"/>
      <c r="U319" s="44"/>
      <c r="V319" s="44"/>
      <c r="W319" s="44"/>
      <c r="X319" s="44"/>
      <c r="Y319" s="44"/>
      <c r="Z319" s="44"/>
      <c r="AA319" s="44"/>
      <c r="AB319" s="44"/>
      <c r="AC319" s="44"/>
      <c r="AD319" s="44"/>
      <c r="AE319" s="44"/>
      <c r="AF319" s="44"/>
      <c r="AG319" s="44"/>
      <c r="AH319" s="44"/>
      <c r="AI319" s="44"/>
      <c r="AJ319" s="44"/>
      <c r="AK319" s="44"/>
      <c r="AL319" s="44"/>
    </row>
    <row r="320" spans="1:38" ht="27.6" x14ac:dyDescent="0.25">
      <c r="A320" s="55"/>
      <c r="B320" s="265" t="s">
        <v>1206</v>
      </c>
      <c r="C320" s="266" t="s">
        <v>173</v>
      </c>
      <c r="D320" s="265" t="s">
        <v>40</v>
      </c>
      <c r="E320" s="265" t="s">
        <v>174</v>
      </c>
      <c r="F320" s="267" t="s">
        <v>44</v>
      </c>
      <c r="G320" s="277">
        <v>1</v>
      </c>
      <c r="H320" s="268">
        <v>167.17</v>
      </c>
      <c r="I320" s="287">
        <v>12.39</v>
      </c>
      <c r="J320" s="268">
        <v>15.72</v>
      </c>
      <c r="K320" s="292">
        <v>154.78</v>
      </c>
      <c r="L320" s="268">
        <v>196.37</v>
      </c>
      <c r="M320" s="268">
        <v>212.09</v>
      </c>
      <c r="N320" s="268">
        <v>15.72</v>
      </c>
      <c r="O320" s="268">
        <v>196.37</v>
      </c>
      <c r="P320" s="268">
        <v>212.09</v>
      </c>
      <c r="Q320" s="269">
        <v>1E-4</v>
      </c>
      <c r="R320" s="44"/>
      <c r="S320" s="49">
        <f t="shared" si="4"/>
        <v>167.17</v>
      </c>
      <c r="T320" s="44"/>
      <c r="U320" s="44"/>
      <c r="V320" s="44"/>
      <c r="W320" s="44"/>
      <c r="X320" s="44"/>
      <c r="Y320" s="44"/>
      <c r="Z320" s="44"/>
      <c r="AA320" s="44"/>
      <c r="AB320" s="44"/>
      <c r="AC320" s="44"/>
      <c r="AD320" s="44"/>
      <c r="AE320" s="44"/>
      <c r="AF320" s="44"/>
      <c r="AG320" s="44"/>
      <c r="AH320" s="44"/>
      <c r="AI320" s="44"/>
      <c r="AJ320" s="44"/>
      <c r="AK320" s="44"/>
      <c r="AL320" s="44"/>
    </row>
    <row r="321" spans="1:38" ht="27.6" x14ac:dyDescent="0.25">
      <c r="A321" s="55"/>
      <c r="B321" s="265" t="s">
        <v>1208</v>
      </c>
      <c r="C321" s="266" t="s">
        <v>169</v>
      </c>
      <c r="D321" s="265" t="s">
        <v>40</v>
      </c>
      <c r="E321" s="265" t="s">
        <v>170</v>
      </c>
      <c r="F321" s="267" t="s">
        <v>44</v>
      </c>
      <c r="G321" s="277">
        <v>3</v>
      </c>
      <c r="H321" s="268">
        <v>89.52</v>
      </c>
      <c r="I321" s="287">
        <v>7.32</v>
      </c>
      <c r="J321" s="268">
        <v>9.2899999999999991</v>
      </c>
      <c r="K321" s="292">
        <v>82.2</v>
      </c>
      <c r="L321" s="268">
        <v>104.29</v>
      </c>
      <c r="M321" s="268">
        <v>113.58</v>
      </c>
      <c r="N321" s="268">
        <v>27.87</v>
      </c>
      <c r="O321" s="268">
        <v>312.87</v>
      </c>
      <c r="P321" s="268">
        <v>340.74</v>
      </c>
      <c r="Q321" s="269">
        <v>1E-4</v>
      </c>
      <c r="R321" s="44"/>
      <c r="S321" s="49">
        <f t="shared" si="4"/>
        <v>268.56</v>
      </c>
      <c r="T321" s="44"/>
      <c r="U321" s="44"/>
      <c r="V321" s="44"/>
      <c r="W321" s="44"/>
      <c r="X321" s="44"/>
      <c r="Y321" s="44"/>
      <c r="Z321" s="44"/>
      <c r="AA321" s="44"/>
      <c r="AB321" s="44"/>
      <c r="AC321" s="44"/>
      <c r="AD321" s="44"/>
      <c r="AE321" s="44"/>
      <c r="AF321" s="44"/>
      <c r="AG321" s="44"/>
      <c r="AH321" s="44"/>
      <c r="AI321" s="44"/>
      <c r="AJ321" s="44"/>
      <c r="AK321" s="44"/>
      <c r="AL321" s="44"/>
    </row>
    <row r="322" spans="1:38" ht="27.6" x14ac:dyDescent="0.25">
      <c r="A322" s="55"/>
      <c r="B322" s="265" t="s">
        <v>1209</v>
      </c>
      <c r="C322" s="266" t="s">
        <v>614</v>
      </c>
      <c r="D322" s="265" t="s">
        <v>40</v>
      </c>
      <c r="E322" s="265" t="s">
        <v>615</v>
      </c>
      <c r="F322" s="267" t="s">
        <v>55</v>
      </c>
      <c r="G322" s="277">
        <v>2</v>
      </c>
      <c r="H322" s="268">
        <v>54.06</v>
      </c>
      <c r="I322" s="287">
        <v>6.41</v>
      </c>
      <c r="J322" s="268">
        <v>8.1300000000000008</v>
      </c>
      <c r="K322" s="292">
        <v>47.65</v>
      </c>
      <c r="L322" s="268">
        <v>60.45</v>
      </c>
      <c r="M322" s="268">
        <v>68.58</v>
      </c>
      <c r="N322" s="268">
        <v>16.260000000000002</v>
      </c>
      <c r="O322" s="268">
        <v>120.9</v>
      </c>
      <c r="P322" s="268">
        <v>137.16</v>
      </c>
      <c r="Q322" s="269">
        <v>1E-4</v>
      </c>
      <c r="R322" s="44"/>
      <c r="S322" s="49">
        <f t="shared" si="4"/>
        <v>108.12</v>
      </c>
      <c r="T322" s="44"/>
      <c r="U322" s="44"/>
      <c r="V322" s="44"/>
      <c r="W322" s="44"/>
      <c r="X322" s="44"/>
      <c r="Y322" s="44"/>
      <c r="Z322" s="44"/>
      <c r="AA322" s="44"/>
      <c r="AB322" s="44"/>
      <c r="AC322" s="44"/>
      <c r="AD322" s="44"/>
      <c r="AE322" s="44"/>
      <c r="AF322" s="44"/>
      <c r="AG322" s="44"/>
      <c r="AH322" s="44"/>
      <c r="AI322" s="44"/>
      <c r="AJ322" s="44"/>
      <c r="AK322" s="44"/>
      <c r="AL322" s="44"/>
    </row>
    <row r="323" spans="1:38" ht="41.4" x14ac:dyDescent="0.25">
      <c r="A323" s="55"/>
      <c r="B323" s="265" t="s">
        <v>1213</v>
      </c>
      <c r="C323" s="266" t="s">
        <v>621</v>
      </c>
      <c r="D323" s="265" t="s">
        <v>40</v>
      </c>
      <c r="E323" s="265" t="s">
        <v>622</v>
      </c>
      <c r="F323" s="267" t="s">
        <v>44</v>
      </c>
      <c r="G323" s="277">
        <v>61</v>
      </c>
      <c r="H323" s="268">
        <v>2.96</v>
      </c>
      <c r="I323" s="287">
        <v>1.27</v>
      </c>
      <c r="J323" s="268">
        <v>1.61</v>
      </c>
      <c r="K323" s="292">
        <v>1.69</v>
      </c>
      <c r="L323" s="268">
        <v>2.14</v>
      </c>
      <c r="M323" s="268">
        <v>3.75</v>
      </c>
      <c r="N323" s="268">
        <v>98.21</v>
      </c>
      <c r="O323" s="268">
        <v>130.54</v>
      </c>
      <c r="P323" s="268">
        <v>228.75</v>
      </c>
      <c r="Q323" s="269">
        <v>1E-4</v>
      </c>
      <c r="R323" s="44"/>
      <c r="S323" s="49">
        <f t="shared" si="4"/>
        <v>180.56</v>
      </c>
      <c r="T323" s="44"/>
      <c r="U323" s="44"/>
      <c r="V323" s="44"/>
      <c r="W323" s="44"/>
      <c r="X323" s="44"/>
      <c r="Y323" s="44"/>
      <c r="Z323" s="44"/>
      <c r="AA323" s="44"/>
      <c r="AB323" s="44"/>
      <c r="AC323" s="44"/>
      <c r="AD323" s="44"/>
      <c r="AE323" s="44"/>
      <c r="AF323" s="44"/>
      <c r="AG323" s="44"/>
      <c r="AH323" s="44"/>
      <c r="AI323" s="44"/>
      <c r="AJ323" s="44"/>
      <c r="AK323" s="44"/>
      <c r="AL323" s="44"/>
    </row>
    <row r="324" spans="1:38" ht="27.6" x14ac:dyDescent="0.25">
      <c r="A324" s="55"/>
      <c r="B324" s="265" t="s">
        <v>1223</v>
      </c>
      <c r="C324" s="266" t="s">
        <v>164</v>
      </c>
      <c r="D324" s="265" t="s">
        <v>40</v>
      </c>
      <c r="E324" s="265" t="s">
        <v>165</v>
      </c>
      <c r="F324" s="267" t="s">
        <v>44</v>
      </c>
      <c r="G324" s="277">
        <v>10</v>
      </c>
      <c r="H324" s="268">
        <v>14.39</v>
      </c>
      <c r="I324" s="287">
        <v>4.7</v>
      </c>
      <c r="J324" s="268">
        <v>5.96</v>
      </c>
      <c r="K324" s="292">
        <v>9.69</v>
      </c>
      <c r="L324" s="268">
        <v>12.29</v>
      </c>
      <c r="M324" s="268">
        <v>18.25</v>
      </c>
      <c r="N324" s="268">
        <v>59.6</v>
      </c>
      <c r="O324" s="268">
        <v>122.9</v>
      </c>
      <c r="P324" s="268">
        <v>182.5</v>
      </c>
      <c r="Q324" s="269">
        <v>1E-4</v>
      </c>
      <c r="R324" s="44"/>
      <c r="S324" s="49">
        <f t="shared" si="4"/>
        <v>143.9</v>
      </c>
      <c r="T324" s="44"/>
      <c r="U324" s="44"/>
      <c r="V324" s="44"/>
      <c r="W324" s="44"/>
      <c r="X324" s="44"/>
      <c r="Y324" s="44"/>
      <c r="Z324" s="44"/>
      <c r="AA324" s="44"/>
      <c r="AB324" s="44"/>
      <c r="AC324" s="44"/>
      <c r="AD324" s="44"/>
      <c r="AE324" s="44"/>
      <c r="AF324" s="44"/>
      <c r="AG324" s="44"/>
      <c r="AH324" s="44"/>
      <c r="AI324" s="44"/>
      <c r="AJ324" s="44"/>
      <c r="AK324" s="44"/>
      <c r="AL324" s="44"/>
    </row>
    <row r="325" spans="1:38" x14ac:dyDescent="0.25">
      <c r="A325" s="55"/>
      <c r="B325" s="265" t="s">
        <v>1230</v>
      </c>
      <c r="C325" s="266" t="s">
        <v>1478</v>
      </c>
      <c r="D325" s="265" t="s">
        <v>199</v>
      </c>
      <c r="E325" s="265" t="s">
        <v>1479</v>
      </c>
      <c r="F325" s="267" t="s">
        <v>168</v>
      </c>
      <c r="G325" s="277">
        <v>1</v>
      </c>
      <c r="H325" s="268">
        <v>156.35</v>
      </c>
      <c r="I325" s="287">
        <v>20.55</v>
      </c>
      <c r="J325" s="268">
        <v>26.07</v>
      </c>
      <c r="K325" s="292">
        <v>135.80000000000001</v>
      </c>
      <c r="L325" s="268">
        <v>172.29</v>
      </c>
      <c r="M325" s="268">
        <v>198.36</v>
      </c>
      <c r="N325" s="268">
        <v>26.07</v>
      </c>
      <c r="O325" s="268">
        <v>172.29</v>
      </c>
      <c r="P325" s="268">
        <v>198.36</v>
      </c>
      <c r="Q325" s="269">
        <v>1E-4</v>
      </c>
      <c r="R325" s="44"/>
      <c r="S325" s="49">
        <f t="shared" si="4"/>
        <v>156.35</v>
      </c>
      <c r="T325" s="44"/>
      <c r="U325" s="44"/>
      <c r="V325" s="44"/>
      <c r="W325" s="44"/>
      <c r="X325" s="44"/>
      <c r="Y325" s="44"/>
      <c r="Z325" s="44"/>
      <c r="AA325" s="44"/>
      <c r="AB325" s="44"/>
      <c r="AC325" s="44"/>
      <c r="AD325" s="44"/>
      <c r="AE325" s="44"/>
      <c r="AF325" s="44"/>
      <c r="AG325" s="44"/>
      <c r="AH325" s="44"/>
      <c r="AI325" s="44"/>
      <c r="AJ325" s="44"/>
      <c r="AK325" s="44"/>
      <c r="AL325" s="44"/>
    </row>
    <row r="326" spans="1:38" ht="27.6" x14ac:dyDescent="0.25">
      <c r="A326" s="55"/>
      <c r="B326" s="265" t="s">
        <v>1249</v>
      </c>
      <c r="C326" s="266" t="s">
        <v>185</v>
      </c>
      <c r="D326" s="265" t="s">
        <v>40</v>
      </c>
      <c r="E326" s="265" t="s">
        <v>186</v>
      </c>
      <c r="F326" s="267" t="s">
        <v>44</v>
      </c>
      <c r="G326" s="277">
        <v>29</v>
      </c>
      <c r="H326" s="268">
        <v>9.01</v>
      </c>
      <c r="I326" s="287">
        <v>4.22</v>
      </c>
      <c r="J326" s="268">
        <v>5.35</v>
      </c>
      <c r="K326" s="292">
        <v>4.79</v>
      </c>
      <c r="L326" s="268">
        <v>6.08</v>
      </c>
      <c r="M326" s="268">
        <v>11.43</v>
      </c>
      <c r="N326" s="268">
        <v>155.15</v>
      </c>
      <c r="O326" s="268">
        <v>176.32</v>
      </c>
      <c r="P326" s="268">
        <v>331.47</v>
      </c>
      <c r="Q326" s="269">
        <v>1E-4</v>
      </c>
      <c r="R326" s="44"/>
      <c r="S326" s="49">
        <f t="shared" si="4"/>
        <v>261.29000000000002</v>
      </c>
      <c r="T326" s="44"/>
      <c r="U326" s="44"/>
      <c r="V326" s="44"/>
      <c r="W326" s="44"/>
      <c r="X326" s="44"/>
      <c r="Y326" s="44"/>
      <c r="Z326" s="44"/>
      <c r="AA326" s="44"/>
      <c r="AB326" s="44"/>
      <c r="AC326" s="44"/>
      <c r="AD326" s="44"/>
      <c r="AE326" s="44"/>
      <c r="AF326" s="44"/>
      <c r="AG326" s="44"/>
      <c r="AH326" s="44"/>
      <c r="AI326" s="44"/>
      <c r="AJ326" s="44"/>
      <c r="AK326" s="44"/>
      <c r="AL326" s="44"/>
    </row>
    <row r="327" spans="1:38" ht="27.6" x14ac:dyDescent="0.25">
      <c r="A327" s="55"/>
      <c r="B327" s="265" t="s">
        <v>1251</v>
      </c>
      <c r="C327" s="266" t="s">
        <v>649</v>
      </c>
      <c r="D327" s="265" t="s">
        <v>40</v>
      </c>
      <c r="E327" s="265" t="s">
        <v>650</v>
      </c>
      <c r="F327" s="267" t="s">
        <v>44</v>
      </c>
      <c r="G327" s="277">
        <v>6</v>
      </c>
      <c r="H327" s="268">
        <v>22.5</v>
      </c>
      <c r="I327" s="287">
        <v>5.47</v>
      </c>
      <c r="J327" s="268">
        <v>6.94</v>
      </c>
      <c r="K327" s="292">
        <v>17.03</v>
      </c>
      <c r="L327" s="268">
        <v>21.61</v>
      </c>
      <c r="M327" s="268">
        <v>28.55</v>
      </c>
      <c r="N327" s="268">
        <v>41.64</v>
      </c>
      <c r="O327" s="268">
        <v>129.66</v>
      </c>
      <c r="P327" s="268">
        <v>171.3</v>
      </c>
      <c r="Q327" s="269">
        <v>1E-4</v>
      </c>
      <c r="R327" s="44"/>
      <c r="S327" s="49">
        <f t="shared" si="4"/>
        <v>135</v>
      </c>
      <c r="T327" s="44"/>
      <c r="U327" s="44"/>
      <c r="V327" s="44"/>
      <c r="W327" s="44"/>
      <c r="X327" s="44"/>
      <c r="Y327" s="44"/>
      <c r="Z327" s="44"/>
      <c r="AA327" s="44"/>
      <c r="AB327" s="44"/>
      <c r="AC327" s="44"/>
      <c r="AD327" s="44"/>
      <c r="AE327" s="44"/>
      <c r="AF327" s="44"/>
      <c r="AG327" s="44"/>
      <c r="AH327" s="44"/>
      <c r="AI327" s="44"/>
      <c r="AJ327" s="44"/>
      <c r="AK327" s="44"/>
      <c r="AL327" s="44"/>
    </row>
    <row r="328" spans="1:38" ht="27.6" x14ac:dyDescent="0.25">
      <c r="A328" s="55"/>
      <c r="B328" s="265" t="s">
        <v>1259</v>
      </c>
      <c r="C328" s="266">
        <v>89795</v>
      </c>
      <c r="D328" s="265" t="s">
        <v>40</v>
      </c>
      <c r="E328" s="265" t="s">
        <v>655</v>
      </c>
      <c r="F328" s="267" t="s">
        <v>44</v>
      </c>
      <c r="G328" s="277">
        <v>5</v>
      </c>
      <c r="H328" s="268">
        <v>38.840000000000003</v>
      </c>
      <c r="I328" s="287">
        <v>7.3</v>
      </c>
      <c r="J328" s="268">
        <v>9.26</v>
      </c>
      <c r="K328" s="292">
        <v>31.54</v>
      </c>
      <c r="L328" s="268">
        <v>40.01</v>
      </c>
      <c r="M328" s="268">
        <v>49.27</v>
      </c>
      <c r="N328" s="268">
        <v>46.3</v>
      </c>
      <c r="O328" s="268">
        <v>200.05</v>
      </c>
      <c r="P328" s="268">
        <v>246.35</v>
      </c>
      <c r="Q328" s="269">
        <v>1E-4</v>
      </c>
      <c r="R328" s="44"/>
      <c r="S328" s="49">
        <f t="shared" si="4"/>
        <v>194.2</v>
      </c>
      <c r="T328" s="44"/>
      <c r="U328" s="44"/>
      <c r="V328" s="44"/>
      <c r="W328" s="44"/>
      <c r="X328" s="44"/>
      <c r="Y328" s="44"/>
      <c r="Z328" s="44"/>
      <c r="AA328" s="44"/>
      <c r="AB328" s="44"/>
      <c r="AC328" s="44"/>
      <c r="AD328" s="44"/>
      <c r="AE328" s="44"/>
      <c r="AF328" s="44"/>
      <c r="AG328" s="44"/>
      <c r="AH328" s="44"/>
      <c r="AI328" s="44"/>
      <c r="AJ328" s="44"/>
      <c r="AK328" s="44"/>
      <c r="AL328" s="44"/>
    </row>
    <row r="329" spans="1:38" x14ac:dyDescent="0.25">
      <c r="A329" s="55"/>
      <c r="B329" s="265" t="s">
        <v>1267</v>
      </c>
      <c r="C329" s="266" t="s">
        <v>662</v>
      </c>
      <c r="D329" s="265" t="s">
        <v>146</v>
      </c>
      <c r="E329" s="265" t="s">
        <v>663</v>
      </c>
      <c r="F329" s="267" t="s">
        <v>168</v>
      </c>
      <c r="G329" s="277">
        <v>9</v>
      </c>
      <c r="H329" s="268">
        <v>23.16</v>
      </c>
      <c r="I329" s="287">
        <v>9.32</v>
      </c>
      <c r="J329" s="268">
        <v>11.82</v>
      </c>
      <c r="K329" s="292">
        <v>13.84</v>
      </c>
      <c r="L329" s="268">
        <v>17.559999999999999</v>
      </c>
      <c r="M329" s="268">
        <v>29.38</v>
      </c>
      <c r="N329" s="268">
        <v>106.38</v>
      </c>
      <c r="O329" s="268">
        <v>158.04</v>
      </c>
      <c r="P329" s="268">
        <v>264.42</v>
      </c>
      <c r="Q329" s="269">
        <v>1E-4</v>
      </c>
      <c r="R329" s="44"/>
      <c r="S329" s="49">
        <f t="shared" si="4"/>
        <v>208.44</v>
      </c>
      <c r="T329" s="44"/>
      <c r="U329" s="44"/>
      <c r="V329" s="44"/>
      <c r="W329" s="44"/>
      <c r="X329" s="44"/>
      <c r="Y329" s="44"/>
      <c r="Z329" s="44"/>
      <c r="AA329" s="44"/>
      <c r="AB329" s="44"/>
      <c r="AC329" s="44"/>
      <c r="AD329" s="44"/>
      <c r="AE329" s="44"/>
      <c r="AF329" s="44"/>
      <c r="AG329" s="44"/>
      <c r="AH329" s="44"/>
      <c r="AI329" s="44"/>
      <c r="AJ329" s="44"/>
      <c r="AK329" s="44"/>
      <c r="AL329" s="44"/>
    </row>
    <row r="330" spans="1:38" ht="27.6" x14ac:dyDescent="0.25">
      <c r="A330" s="55"/>
      <c r="B330" s="265" t="s">
        <v>1268</v>
      </c>
      <c r="C330" s="266" t="s">
        <v>618</v>
      </c>
      <c r="D330" s="265" t="s">
        <v>40</v>
      </c>
      <c r="E330" s="265" t="s">
        <v>619</v>
      </c>
      <c r="F330" s="267" t="s">
        <v>44</v>
      </c>
      <c r="G330" s="277">
        <v>17</v>
      </c>
      <c r="H330" s="268">
        <v>6.11</v>
      </c>
      <c r="I330" s="287">
        <v>3.15</v>
      </c>
      <c r="J330" s="268">
        <v>4</v>
      </c>
      <c r="K330" s="292">
        <v>2.96</v>
      </c>
      <c r="L330" s="268">
        <v>3.76</v>
      </c>
      <c r="M330" s="268">
        <v>7.76</v>
      </c>
      <c r="N330" s="268">
        <v>68</v>
      </c>
      <c r="O330" s="268">
        <v>63.92</v>
      </c>
      <c r="P330" s="268">
        <v>131.91999999999999</v>
      </c>
      <c r="Q330" s="269">
        <v>1E-4</v>
      </c>
      <c r="R330" s="44"/>
      <c r="S330" s="49">
        <f t="shared" si="4"/>
        <v>103.87</v>
      </c>
      <c r="T330" s="44"/>
      <c r="U330" s="44"/>
      <c r="V330" s="44"/>
      <c r="W330" s="44"/>
      <c r="X330" s="44"/>
      <c r="Y330" s="44"/>
      <c r="Z330" s="44"/>
      <c r="AA330" s="44"/>
      <c r="AB330" s="44"/>
      <c r="AC330" s="44"/>
      <c r="AD330" s="44"/>
      <c r="AE330" s="44"/>
      <c r="AF330" s="44"/>
      <c r="AG330" s="44"/>
      <c r="AH330" s="44"/>
      <c r="AI330" s="44"/>
      <c r="AJ330" s="44"/>
      <c r="AK330" s="44"/>
      <c r="AL330" s="44"/>
    </row>
    <row r="331" spans="1:38" ht="27.6" x14ac:dyDescent="0.25">
      <c r="A331" s="55"/>
      <c r="B331" s="265" t="s">
        <v>1269</v>
      </c>
      <c r="C331" s="266" t="s">
        <v>177</v>
      </c>
      <c r="D331" s="265" t="s">
        <v>40</v>
      </c>
      <c r="E331" s="265" t="s">
        <v>178</v>
      </c>
      <c r="F331" s="267" t="s">
        <v>44</v>
      </c>
      <c r="G331" s="277">
        <v>17</v>
      </c>
      <c r="H331" s="268">
        <v>9.33</v>
      </c>
      <c r="I331" s="287">
        <v>3.62</v>
      </c>
      <c r="J331" s="268">
        <v>4.59</v>
      </c>
      <c r="K331" s="292">
        <v>5.71</v>
      </c>
      <c r="L331" s="268">
        <v>7.24</v>
      </c>
      <c r="M331" s="268">
        <v>11.83</v>
      </c>
      <c r="N331" s="268">
        <v>78.03</v>
      </c>
      <c r="O331" s="268">
        <v>123.08</v>
      </c>
      <c r="P331" s="268">
        <v>201.11</v>
      </c>
      <c r="Q331" s="269">
        <v>1E-4</v>
      </c>
      <c r="R331" s="44"/>
      <c r="S331" s="49">
        <f t="shared" si="4"/>
        <v>158.61000000000001</v>
      </c>
      <c r="T331" s="44"/>
      <c r="U331" s="44"/>
      <c r="V331" s="44"/>
      <c r="W331" s="44"/>
      <c r="X331" s="44"/>
      <c r="Y331" s="44"/>
      <c r="Z331" s="44"/>
      <c r="AA331" s="44"/>
      <c r="AB331" s="44"/>
      <c r="AC331" s="44"/>
      <c r="AD331" s="44"/>
      <c r="AE331" s="44"/>
      <c r="AF331" s="44"/>
      <c r="AG331" s="44"/>
      <c r="AH331" s="44"/>
      <c r="AI331" s="44"/>
      <c r="AJ331" s="44"/>
      <c r="AK331" s="44"/>
      <c r="AL331" s="44"/>
    </row>
    <row r="332" spans="1:38" ht="27.6" x14ac:dyDescent="0.25">
      <c r="A332" s="55"/>
      <c r="B332" s="265" t="s">
        <v>1270</v>
      </c>
      <c r="C332" s="266" t="s">
        <v>628</v>
      </c>
      <c r="D332" s="265" t="s">
        <v>40</v>
      </c>
      <c r="E332" s="265" t="s">
        <v>629</v>
      </c>
      <c r="F332" s="267" t="s">
        <v>44</v>
      </c>
      <c r="G332" s="277">
        <v>17</v>
      </c>
      <c r="H332" s="268">
        <v>11.53</v>
      </c>
      <c r="I332" s="287">
        <v>3.35</v>
      </c>
      <c r="J332" s="268">
        <v>4.25</v>
      </c>
      <c r="K332" s="292">
        <v>8.18</v>
      </c>
      <c r="L332" s="268">
        <v>10.38</v>
      </c>
      <c r="M332" s="268">
        <v>14.63</v>
      </c>
      <c r="N332" s="268">
        <v>72.25</v>
      </c>
      <c r="O332" s="268">
        <v>176.46</v>
      </c>
      <c r="P332" s="268">
        <v>248.71</v>
      </c>
      <c r="Q332" s="269">
        <v>1E-4</v>
      </c>
      <c r="R332" s="44"/>
      <c r="S332" s="49">
        <f t="shared" si="4"/>
        <v>196.01</v>
      </c>
      <c r="T332" s="44"/>
      <c r="U332" s="44"/>
      <c r="V332" s="44"/>
      <c r="W332" s="44"/>
      <c r="X332" s="44"/>
      <c r="Y332" s="44"/>
      <c r="Z332" s="44"/>
      <c r="AA332" s="44"/>
      <c r="AB332" s="44"/>
      <c r="AC332" s="44"/>
      <c r="AD332" s="44"/>
      <c r="AE332" s="44"/>
      <c r="AF332" s="44"/>
      <c r="AG332" s="44"/>
      <c r="AH332" s="44"/>
      <c r="AI332" s="44"/>
      <c r="AJ332" s="44"/>
      <c r="AK332" s="44"/>
      <c r="AL332" s="44"/>
    </row>
    <row r="333" spans="1:38" ht="27.6" x14ac:dyDescent="0.25">
      <c r="A333" s="55"/>
      <c r="B333" s="265" t="s">
        <v>1271</v>
      </c>
      <c r="C333" s="266" t="s">
        <v>175</v>
      </c>
      <c r="D333" s="265" t="s">
        <v>40</v>
      </c>
      <c r="E333" s="265" t="s">
        <v>176</v>
      </c>
      <c r="F333" s="267" t="s">
        <v>44</v>
      </c>
      <c r="G333" s="277">
        <v>34</v>
      </c>
      <c r="H333" s="268">
        <v>7.35</v>
      </c>
      <c r="I333" s="287">
        <v>4.53</v>
      </c>
      <c r="J333" s="268">
        <v>5.75</v>
      </c>
      <c r="K333" s="292">
        <v>2.82</v>
      </c>
      <c r="L333" s="268">
        <v>3.58</v>
      </c>
      <c r="M333" s="268">
        <v>9.33</v>
      </c>
      <c r="N333" s="268">
        <v>195.5</v>
      </c>
      <c r="O333" s="268">
        <v>121.72</v>
      </c>
      <c r="P333" s="268">
        <v>317.22000000000003</v>
      </c>
      <c r="Q333" s="269">
        <v>1E-4</v>
      </c>
      <c r="R333" s="44"/>
      <c r="S333" s="49">
        <f t="shared" si="4"/>
        <v>249.9</v>
      </c>
      <c r="T333" s="44"/>
      <c r="U333" s="44"/>
      <c r="V333" s="44"/>
      <c r="W333" s="44"/>
      <c r="X333" s="44"/>
      <c r="Y333" s="44"/>
      <c r="Z333" s="44"/>
      <c r="AA333" s="44"/>
      <c r="AB333" s="44"/>
      <c r="AC333" s="44"/>
      <c r="AD333" s="44"/>
      <c r="AE333" s="44"/>
      <c r="AF333" s="44"/>
      <c r="AG333" s="44"/>
      <c r="AH333" s="44"/>
      <c r="AI333" s="44"/>
      <c r="AJ333" s="44"/>
      <c r="AK333" s="44"/>
      <c r="AL333" s="44"/>
    </row>
    <row r="334" spans="1:38" ht="27.6" x14ac:dyDescent="0.25">
      <c r="A334" s="55"/>
      <c r="B334" s="265" t="s">
        <v>1278</v>
      </c>
      <c r="C334" s="266" t="s">
        <v>645</v>
      </c>
      <c r="D334" s="265" t="s">
        <v>40</v>
      </c>
      <c r="E334" s="265" t="s">
        <v>646</v>
      </c>
      <c r="F334" s="267" t="s">
        <v>44</v>
      </c>
      <c r="G334" s="277">
        <v>4</v>
      </c>
      <c r="H334" s="268">
        <v>61.96</v>
      </c>
      <c r="I334" s="287">
        <v>4.3499999999999996</v>
      </c>
      <c r="J334" s="268">
        <v>5.52</v>
      </c>
      <c r="K334" s="292">
        <v>57.61</v>
      </c>
      <c r="L334" s="268">
        <v>73.09</v>
      </c>
      <c r="M334" s="268">
        <v>78.61</v>
      </c>
      <c r="N334" s="268">
        <v>22.08</v>
      </c>
      <c r="O334" s="268">
        <v>292.36</v>
      </c>
      <c r="P334" s="268">
        <v>314.44</v>
      </c>
      <c r="Q334" s="269">
        <v>1E-4</v>
      </c>
      <c r="R334" s="44"/>
      <c r="S334" s="49">
        <f t="shared" si="4"/>
        <v>247.84</v>
      </c>
      <c r="T334" s="44"/>
      <c r="U334" s="44"/>
      <c r="V334" s="44"/>
      <c r="W334" s="44"/>
      <c r="X334" s="44"/>
      <c r="Y334" s="44"/>
      <c r="Z334" s="44"/>
      <c r="AA334" s="44"/>
      <c r="AB334" s="44"/>
      <c r="AC334" s="44"/>
      <c r="AD334" s="44"/>
      <c r="AE334" s="44"/>
      <c r="AF334" s="44"/>
      <c r="AG334" s="44"/>
      <c r="AH334" s="44"/>
      <c r="AI334" s="44"/>
      <c r="AJ334" s="44"/>
      <c r="AK334" s="44"/>
      <c r="AL334" s="44"/>
    </row>
    <row r="335" spans="1:38" x14ac:dyDescent="0.25">
      <c r="A335" s="55"/>
      <c r="B335" s="265" t="s">
        <v>1296</v>
      </c>
      <c r="C335" s="266" t="s">
        <v>668</v>
      </c>
      <c r="D335" s="265" t="s">
        <v>146</v>
      </c>
      <c r="E335" s="265" t="s">
        <v>669</v>
      </c>
      <c r="F335" s="267" t="s">
        <v>168</v>
      </c>
      <c r="G335" s="277">
        <v>10</v>
      </c>
      <c r="H335" s="268">
        <v>16.55</v>
      </c>
      <c r="I335" s="287">
        <v>3.51</v>
      </c>
      <c r="J335" s="268">
        <v>4.45</v>
      </c>
      <c r="K335" s="292">
        <v>13.04</v>
      </c>
      <c r="L335" s="268">
        <v>16.54</v>
      </c>
      <c r="M335" s="268">
        <v>20.99</v>
      </c>
      <c r="N335" s="268">
        <v>44.5</v>
      </c>
      <c r="O335" s="268">
        <v>165.4</v>
      </c>
      <c r="P335" s="268">
        <v>209.9</v>
      </c>
      <c r="Q335" s="269">
        <v>1E-4</v>
      </c>
      <c r="R335" s="44"/>
      <c r="S335" s="49">
        <f t="shared" si="4"/>
        <v>165.5</v>
      </c>
      <c r="T335" s="44"/>
      <c r="U335" s="44"/>
      <c r="V335" s="44"/>
      <c r="W335" s="44"/>
      <c r="X335" s="44"/>
      <c r="Y335" s="44"/>
      <c r="Z335" s="44"/>
      <c r="AA335" s="44"/>
      <c r="AB335" s="44"/>
      <c r="AC335" s="44"/>
      <c r="AD335" s="44"/>
      <c r="AE335" s="44"/>
      <c r="AF335" s="44"/>
      <c r="AG335" s="44"/>
      <c r="AH335" s="44"/>
      <c r="AI335" s="44"/>
      <c r="AJ335" s="44"/>
      <c r="AK335" s="44"/>
      <c r="AL335" s="44"/>
    </row>
    <row r="336" spans="1:38" x14ac:dyDescent="0.25">
      <c r="A336" s="55"/>
      <c r="B336" s="265" t="s">
        <v>1297</v>
      </c>
      <c r="C336" s="266" t="s">
        <v>670</v>
      </c>
      <c r="D336" s="265" t="s">
        <v>199</v>
      </c>
      <c r="E336" s="265" t="s">
        <v>771</v>
      </c>
      <c r="F336" s="267" t="s">
        <v>168</v>
      </c>
      <c r="G336" s="277">
        <v>1</v>
      </c>
      <c r="H336" s="268">
        <v>219.23</v>
      </c>
      <c r="I336" s="287">
        <v>3.39</v>
      </c>
      <c r="J336" s="268">
        <v>4.3</v>
      </c>
      <c r="K336" s="292">
        <v>215.84</v>
      </c>
      <c r="L336" s="268">
        <v>273.83999999999997</v>
      </c>
      <c r="M336" s="268">
        <v>278.14</v>
      </c>
      <c r="N336" s="268">
        <v>4.3</v>
      </c>
      <c r="O336" s="268">
        <v>273.83999999999997</v>
      </c>
      <c r="P336" s="268">
        <v>278.14</v>
      </c>
      <c r="Q336" s="269">
        <v>1E-4</v>
      </c>
      <c r="R336" s="44"/>
      <c r="S336" s="49">
        <f t="shared" si="4"/>
        <v>219.23</v>
      </c>
      <c r="T336" s="44"/>
      <c r="U336" s="44"/>
      <c r="V336" s="44"/>
      <c r="W336" s="44"/>
      <c r="X336" s="44"/>
      <c r="Y336" s="44"/>
      <c r="Z336" s="44"/>
      <c r="AA336" s="44"/>
      <c r="AB336" s="44"/>
      <c r="AC336" s="44"/>
      <c r="AD336" s="44"/>
      <c r="AE336" s="44"/>
      <c r="AF336" s="44"/>
      <c r="AG336" s="44"/>
      <c r="AH336" s="44"/>
      <c r="AI336" s="44"/>
      <c r="AJ336" s="44"/>
      <c r="AK336" s="44"/>
      <c r="AL336" s="44"/>
    </row>
    <row r="337" spans="1:38" ht="27.6" x14ac:dyDescent="0.25">
      <c r="A337" s="55"/>
      <c r="B337" s="265" t="s">
        <v>1298</v>
      </c>
      <c r="C337" s="266" t="s">
        <v>671</v>
      </c>
      <c r="D337" s="265" t="s">
        <v>146</v>
      </c>
      <c r="E337" s="265" t="s">
        <v>672</v>
      </c>
      <c r="F337" s="267" t="s">
        <v>200</v>
      </c>
      <c r="G337" s="277">
        <v>6</v>
      </c>
      <c r="H337" s="268">
        <v>18.64</v>
      </c>
      <c r="I337" s="287">
        <v>0</v>
      </c>
      <c r="J337" s="268">
        <v>0</v>
      </c>
      <c r="K337" s="292">
        <v>18.64</v>
      </c>
      <c r="L337" s="268">
        <v>23.65</v>
      </c>
      <c r="M337" s="268">
        <v>23.65</v>
      </c>
      <c r="N337" s="268">
        <v>0</v>
      </c>
      <c r="O337" s="268">
        <v>141.9</v>
      </c>
      <c r="P337" s="268">
        <v>141.9</v>
      </c>
      <c r="Q337" s="269">
        <v>1E-4</v>
      </c>
      <c r="R337" s="44"/>
      <c r="S337" s="49">
        <f t="shared" si="4"/>
        <v>111.84</v>
      </c>
      <c r="T337" s="44"/>
      <c r="U337" s="44"/>
      <c r="V337" s="44"/>
      <c r="W337" s="44"/>
      <c r="X337" s="44"/>
      <c r="Y337" s="44"/>
      <c r="Z337" s="44"/>
      <c r="AA337" s="44"/>
      <c r="AB337" s="44"/>
      <c r="AC337" s="44"/>
      <c r="AD337" s="44"/>
      <c r="AE337" s="44"/>
      <c r="AF337" s="44"/>
      <c r="AG337" s="44"/>
      <c r="AH337" s="44"/>
      <c r="AI337" s="44"/>
      <c r="AJ337" s="44"/>
      <c r="AK337" s="44"/>
      <c r="AL337" s="44"/>
    </row>
    <row r="338" spans="1:38" ht="27.6" x14ac:dyDescent="0.25">
      <c r="A338" s="55"/>
      <c r="B338" s="265" t="s">
        <v>1302</v>
      </c>
      <c r="C338" s="266" t="s">
        <v>725</v>
      </c>
      <c r="D338" s="265" t="s">
        <v>199</v>
      </c>
      <c r="E338" s="265" t="s">
        <v>774</v>
      </c>
      <c r="F338" s="267" t="s">
        <v>168</v>
      </c>
      <c r="G338" s="277">
        <v>1</v>
      </c>
      <c r="H338" s="268">
        <v>236.86</v>
      </c>
      <c r="I338" s="287">
        <v>14.54</v>
      </c>
      <c r="J338" s="268">
        <v>18.45</v>
      </c>
      <c r="K338" s="292">
        <v>222.32</v>
      </c>
      <c r="L338" s="268">
        <v>282.06</v>
      </c>
      <c r="M338" s="268">
        <v>300.51</v>
      </c>
      <c r="N338" s="268">
        <v>18.45</v>
      </c>
      <c r="O338" s="268">
        <v>282.06</v>
      </c>
      <c r="P338" s="268">
        <v>300.51</v>
      </c>
      <c r="Q338" s="269">
        <v>1E-4</v>
      </c>
      <c r="R338" s="44"/>
      <c r="S338" s="49">
        <f t="shared" si="4"/>
        <v>236.86</v>
      </c>
      <c r="T338" s="44"/>
      <c r="U338" s="44"/>
      <c r="V338" s="44"/>
      <c r="W338" s="44"/>
      <c r="X338" s="44"/>
      <c r="Y338" s="44"/>
      <c r="Z338" s="44"/>
      <c r="AA338" s="44"/>
      <c r="AB338" s="44"/>
      <c r="AC338" s="44"/>
      <c r="AD338" s="44"/>
      <c r="AE338" s="44"/>
      <c r="AF338" s="44"/>
      <c r="AG338" s="44"/>
      <c r="AH338" s="44"/>
      <c r="AI338" s="44"/>
      <c r="AJ338" s="44"/>
      <c r="AK338" s="44"/>
      <c r="AL338" s="44"/>
    </row>
    <row r="339" spans="1:38" x14ac:dyDescent="0.25">
      <c r="A339" s="55"/>
      <c r="B339" s="265" t="s">
        <v>1066</v>
      </c>
      <c r="C339" s="266" t="s">
        <v>682</v>
      </c>
      <c r="D339" s="265" t="s">
        <v>51</v>
      </c>
      <c r="E339" s="265" t="s">
        <v>683</v>
      </c>
      <c r="F339" s="267" t="s">
        <v>44</v>
      </c>
      <c r="G339" s="277">
        <v>192</v>
      </c>
      <c r="H339" s="268">
        <v>1.33</v>
      </c>
      <c r="I339" s="287">
        <v>0.41</v>
      </c>
      <c r="J339" s="268">
        <v>0.52</v>
      </c>
      <c r="K339" s="292">
        <v>0.92</v>
      </c>
      <c r="L339" s="268">
        <v>1.17</v>
      </c>
      <c r="M339" s="268">
        <v>1.69</v>
      </c>
      <c r="N339" s="268">
        <v>99.84</v>
      </c>
      <c r="O339" s="268">
        <v>224.64</v>
      </c>
      <c r="P339" s="268">
        <v>324.48</v>
      </c>
      <c r="Q339" s="269">
        <v>1E-4</v>
      </c>
      <c r="R339" s="44"/>
      <c r="S339" s="49">
        <f t="shared" si="4"/>
        <v>255.36</v>
      </c>
      <c r="T339" s="44"/>
      <c r="U339" s="44"/>
      <c r="V339" s="44"/>
      <c r="W339" s="44"/>
      <c r="X339" s="44"/>
      <c r="Y339" s="44"/>
      <c r="Z339" s="44"/>
      <c r="AA339" s="44"/>
      <c r="AB339" s="44"/>
      <c r="AC339" s="44"/>
      <c r="AD339" s="44"/>
      <c r="AE339" s="44"/>
      <c r="AF339" s="44"/>
      <c r="AG339" s="44"/>
      <c r="AH339" s="44"/>
      <c r="AI339" s="44"/>
      <c r="AJ339" s="44"/>
      <c r="AK339" s="44"/>
      <c r="AL339" s="44"/>
    </row>
    <row r="340" spans="1:38" ht="27.6" x14ac:dyDescent="0.25">
      <c r="A340" s="55"/>
      <c r="B340" s="265" t="s">
        <v>1086</v>
      </c>
      <c r="C340" s="266" t="s">
        <v>1431</v>
      </c>
      <c r="D340" s="265" t="s">
        <v>40</v>
      </c>
      <c r="E340" s="265" t="s">
        <v>1432</v>
      </c>
      <c r="F340" s="267" t="s">
        <v>44</v>
      </c>
      <c r="G340" s="277">
        <v>3</v>
      </c>
      <c r="H340" s="268">
        <v>51.35</v>
      </c>
      <c r="I340" s="287">
        <v>23.75</v>
      </c>
      <c r="J340" s="268">
        <v>30.13</v>
      </c>
      <c r="K340" s="292">
        <v>27.6</v>
      </c>
      <c r="L340" s="268">
        <v>35.020000000000003</v>
      </c>
      <c r="M340" s="268">
        <v>65.150000000000006</v>
      </c>
      <c r="N340" s="268">
        <v>90.39</v>
      </c>
      <c r="O340" s="268">
        <v>105.06</v>
      </c>
      <c r="P340" s="268">
        <v>195.45</v>
      </c>
      <c r="Q340" s="269">
        <v>1E-4</v>
      </c>
      <c r="R340" s="44"/>
      <c r="S340" s="49">
        <f t="shared" si="4"/>
        <v>154.05000000000001</v>
      </c>
      <c r="T340" s="44"/>
      <c r="U340" s="44"/>
      <c r="V340" s="44"/>
      <c r="W340" s="44"/>
      <c r="X340" s="44"/>
      <c r="Y340" s="44"/>
      <c r="Z340" s="44"/>
      <c r="AA340" s="44"/>
      <c r="AB340" s="44"/>
      <c r="AC340" s="44"/>
      <c r="AD340" s="44"/>
      <c r="AE340" s="44"/>
      <c r="AF340" s="44"/>
      <c r="AG340" s="44"/>
      <c r="AH340" s="44"/>
      <c r="AI340" s="44"/>
      <c r="AJ340" s="44"/>
      <c r="AK340" s="44"/>
      <c r="AL340" s="44"/>
    </row>
    <row r="341" spans="1:38" ht="27.6" x14ac:dyDescent="0.25">
      <c r="A341" s="55"/>
      <c r="B341" s="265" t="s">
        <v>1095</v>
      </c>
      <c r="C341" s="266" t="s">
        <v>1520</v>
      </c>
      <c r="D341" s="265" t="s">
        <v>40</v>
      </c>
      <c r="E341" s="265" t="s">
        <v>1521</v>
      </c>
      <c r="F341" s="267" t="s">
        <v>44</v>
      </c>
      <c r="G341" s="277">
        <v>2</v>
      </c>
      <c r="H341" s="268">
        <v>69.569999999999993</v>
      </c>
      <c r="I341" s="287">
        <v>31.15</v>
      </c>
      <c r="J341" s="268">
        <v>39.520000000000003</v>
      </c>
      <c r="K341" s="292">
        <v>38.42</v>
      </c>
      <c r="L341" s="268">
        <v>48.74</v>
      </c>
      <c r="M341" s="268">
        <v>88.26</v>
      </c>
      <c r="N341" s="268">
        <v>79.040000000000006</v>
      </c>
      <c r="O341" s="268">
        <v>97.48</v>
      </c>
      <c r="P341" s="268">
        <v>176.52</v>
      </c>
      <c r="Q341" s="269">
        <v>1E-4</v>
      </c>
      <c r="R341" s="44"/>
      <c r="S341" s="49">
        <f t="shared" ref="S341:S404" si="5">G341*H341</f>
        <v>139.13999999999999</v>
      </c>
      <c r="T341" s="44"/>
      <c r="U341" s="44"/>
      <c r="V341" s="44"/>
      <c r="W341" s="44"/>
      <c r="X341" s="44"/>
      <c r="Y341" s="44"/>
      <c r="Z341" s="44"/>
      <c r="AA341" s="44"/>
      <c r="AB341" s="44"/>
      <c r="AC341" s="44"/>
      <c r="AD341" s="44"/>
      <c r="AE341" s="44"/>
      <c r="AF341" s="44"/>
      <c r="AG341" s="44"/>
      <c r="AH341" s="44"/>
      <c r="AI341" s="44"/>
      <c r="AJ341" s="44"/>
      <c r="AK341" s="44"/>
      <c r="AL341" s="44"/>
    </row>
    <row r="342" spans="1:38" ht="27.6" x14ac:dyDescent="0.25">
      <c r="A342" s="55"/>
      <c r="B342" s="265" t="s">
        <v>1100</v>
      </c>
      <c r="C342" s="266" t="s">
        <v>699</v>
      </c>
      <c r="D342" s="265" t="s">
        <v>40</v>
      </c>
      <c r="E342" s="265" t="s">
        <v>700</v>
      </c>
      <c r="F342" s="267" t="s">
        <v>44</v>
      </c>
      <c r="G342" s="277">
        <v>6</v>
      </c>
      <c r="H342" s="268">
        <v>43.59</v>
      </c>
      <c r="I342" s="287">
        <v>19.41</v>
      </c>
      <c r="J342" s="268">
        <v>24.63</v>
      </c>
      <c r="K342" s="292">
        <v>24.18</v>
      </c>
      <c r="L342" s="268">
        <v>30.68</v>
      </c>
      <c r="M342" s="268">
        <v>55.31</v>
      </c>
      <c r="N342" s="268">
        <v>147.78</v>
      </c>
      <c r="O342" s="268">
        <v>184.08</v>
      </c>
      <c r="P342" s="268">
        <v>331.86</v>
      </c>
      <c r="Q342" s="269">
        <v>1E-4</v>
      </c>
      <c r="R342" s="44"/>
      <c r="S342" s="49">
        <f t="shared" si="5"/>
        <v>261.54000000000002</v>
      </c>
      <c r="T342" s="44"/>
      <c r="U342" s="44"/>
      <c r="V342" s="44"/>
      <c r="W342" s="44"/>
      <c r="X342" s="44"/>
      <c r="Y342" s="44"/>
      <c r="Z342" s="44"/>
      <c r="AA342" s="44"/>
      <c r="AB342" s="44"/>
      <c r="AC342" s="44"/>
      <c r="AD342" s="44"/>
      <c r="AE342" s="44"/>
      <c r="AF342" s="44"/>
      <c r="AG342" s="44"/>
      <c r="AH342" s="44"/>
      <c r="AI342" s="44"/>
      <c r="AJ342" s="44"/>
      <c r="AK342" s="44"/>
      <c r="AL342" s="44"/>
    </row>
    <row r="343" spans="1:38" x14ac:dyDescent="0.25">
      <c r="A343" s="55"/>
      <c r="B343" s="265" t="s">
        <v>1306</v>
      </c>
      <c r="C343" s="266" t="s">
        <v>1524</v>
      </c>
      <c r="D343" s="265" t="s">
        <v>51</v>
      </c>
      <c r="E343" s="265" t="s">
        <v>1525</v>
      </c>
      <c r="F343" s="267" t="s">
        <v>44</v>
      </c>
      <c r="G343" s="277">
        <v>1</v>
      </c>
      <c r="H343" s="268">
        <v>161.69</v>
      </c>
      <c r="I343" s="287">
        <v>90.22</v>
      </c>
      <c r="J343" s="268">
        <v>114.46</v>
      </c>
      <c r="K343" s="292">
        <v>71.47</v>
      </c>
      <c r="L343" s="268">
        <v>90.67</v>
      </c>
      <c r="M343" s="268">
        <v>205.13</v>
      </c>
      <c r="N343" s="268">
        <v>114.46</v>
      </c>
      <c r="O343" s="268">
        <v>90.67</v>
      </c>
      <c r="P343" s="268">
        <v>205.13</v>
      </c>
      <c r="Q343" s="269">
        <v>1E-4</v>
      </c>
      <c r="R343" s="44"/>
      <c r="S343" s="49">
        <f t="shared" si="5"/>
        <v>161.69</v>
      </c>
      <c r="T343" s="44"/>
      <c r="U343" s="44"/>
      <c r="V343" s="44"/>
      <c r="W343" s="44"/>
      <c r="X343" s="44"/>
      <c r="Y343" s="44"/>
      <c r="Z343" s="44"/>
      <c r="AA343" s="44"/>
      <c r="AB343" s="44"/>
      <c r="AC343" s="44"/>
      <c r="AD343" s="44"/>
      <c r="AE343" s="44"/>
      <c r="AF343" s="44"/>
      <c r="AG343" s="44"/>
      <c r="AH343" s="44"/>
      <c r="AI343" s="44"/>
      <c r="AJ343" s="44"/>
      <c r="AK343" s="44"/>
      <c r="AL343" s="44"/>
    </row>
    <row r="344" spans="1:38" ht="27.6" x14ac:dyDescent="0.25">
      <c r="A344" s="55"/>
      <c r="B344" s="265" t="s">
        <v>1309</v>
      </c>
      <c r="C344" s="266" t="s">
        <v>878</v>
      </c>
      <c r="D344" s="265" t="s">
        <v>40</v>
      </c>
      <c r="E344" s="265" t="s">
        <v>879</v>
      </c>
      <c r="F344" s="267" t="s">
        <v>44</v>
      </c>
      <c r="G344" s="277">
        <v>13</v>
      </c>
      <c r="H344" s="268">
        <v>14.32</v>
      </c>
      <c r="I344" s="287">
        <v>1.17</v>
      </c>
      <c r="J344" s="268">
        <v>1.48</v>
      </c>
      <c r="K344" s="292">
        <v>13.15</v>
      </c>
      <c r="L344" s="268">
        <v>16.68</v>
      </c>
      <c r="M344" s="268">
        <v>18.16</v>
      </c>
      <c r="N344" s="268">
        <v>19.239999999999998</v>
      </c>
      <c r="O344" s="268">
        <v>216.84</v>
      </c>
      <c r="P344" s="268">
        <v>236.08</v>
      </c>
      <c r="Q344" s="269">
        <v>1E-4</v>
      </c>
      <c r="R344" s="44"/>
      <c r="S344" s="49">
        <f t="shared" si="5"/>
        <v>186.16</v>
      </c>
      <c r="T344" s="44"/>
      <c r="U344" s="44"/>
      <c r="V344" s="44"/>
      <c r="W344" s="44"/>
      <c r="X344" s="44"/>
      <c r="Y344" s="44"/>
      <c r="Z344" s="44"/>
      <c r="AA344" s="44"/>
      <c r="AB344" s="44"/>
      <c r="AC344" s="44"/>
      <c r="AD344" s="44"/>
      <c r="AE344" s="44"/>
      <c r="AF344" s="44"/>
      <c r="AG344" s="44"/>
      <c r="AH344" s="44"/>
      <c r="AI344" s="44"/>
      <c r="AJ344" s="44"/>
      <c r="AK344" s="44"/>
      <c r="AL344" s="44"/>
    </row>
    <row r="345" spans="1:38" x14ac:dyDescent="0.25">
      <c r="A345" s="55"/>
      <c r="B345" s="265" t="s">
        <v>1314</v>
      </c>
      <c r="C345" s="266" t="s">
        <v>876</v>
      </c>
      <c r="D345" s="265" t="s">
        <v>40</v>
      </c>
      <c r="E345" s="265" t="s">
        <v>877</v>
      </c>
      <c r="F345" s="267" t="s">
        <v>44</v>
      </c>
      <c r="G345" s="277">
        <v>2</v>
      </c>
      <c r="H345" s="268">
        <v>78.040000000000006</v>
      </c>
      <c r="I345" s="287">
        <v>6.17</v>
      </c>
      <c r="J345" s="268">
        <v>7.83</v>
      </c>
      <c r="K345" s="292">
        <v>71.87</v>
      </c>
      <c r="L345" s="268">
        <v>91.18</v>
      </c>
      <c r="M345" s="268">
        <v>99.01</v>
      </c>
      <c r="N345" s="268">
        <v>15.66</v>
      </c>
      <c r="O345" s="268">
        <v>182.36</v>
      </c>
      <c r="P345" s="268">
        <v>198.02</v>
      </c>
      <c r="Q345" s="269">
        <v>1E-4</v>
      </c>
      <c r="R345" s="44"/>
      <c r="S345" s="49">
        <f t="shared" si="5"/>
        <v>156.08000000000001</v>
      </c>
      <c r="T345" s="44"/>
      <c r="U345" s="44"/>
      <c r="V345" s="44"/>
      <c r="W345" s="44"/>
      <c r="X345" s="44"/>
      <c r="Y345" s="44"/>
      <c r="Z345" s="44"/>
      <c r="AA345" s="44"/>
      <c r="AB345" s="44"/>
      <c r="AC345" s="44"/>
      <c r="AD345" s="44"/>
      <c r="AE345" s="44"/>
      <c r="AF345" s="44"/>
      <c r="AG345" s="44"/>
      <c r="AH345" s="44"/>
      <c r="AI345" s="44"/>
      <c r="AJ345" s="44"/>
      <c r="AK345" s="44"/>
      <c r="AL345" s="44"/>
    </row>
    <row r="346" spans="1:38" x14ac:dyDescent="0.25">
      <c r="A346" s="55"/>
      <c r="B346" s="265" t="s">
        <v>1315</v>
      </c>
      <c r="C346" s="266" t="s">
        <v>1530</v>
      </c>
      <c r="D346" s="265" t="s">
        <v>40</v>
      </c>
      <c r="E346" s="265" t="s">
        <v>1531</v>
      </c>
      <c r="F346" s="267" t="s">
        <v>44</v>
      </c>
      <c r="G346" s="277">
        <v>2</v>
      </c>
      <c r="H346" s="268">
        <v>71.739999999999995</v>
      </c>
      <c r="I346" s="287">
        <v>2.37</v>
      </c>
      <c r="J346" s="268">
        <v>3.01</v>
      </c>
      <c r="K346" s="292">
        <v>69.37</v>
      </c>
      <c r="L346" s="268">
        <v>88.01</v>
      </c>
      <c r="M346" s="268">
        <v>91.02</v>
      </c>
      <c r="N346" s="268">
        <v>6.02</v>
      </c>
      <c r="O346" s="268">
        <v>176.02</v>
      </c>
      <c r="P346" s="268">
        <v>182.04</v>
      </c>
      <c r="Q346" s="269">
        <v>1E-4</v>
      </c>
      <c r="R346" s="44"/>
      <c r="S346" s="49">
        <f t="shared" si="5"/>
        <v>143.47999999999999</v>
      </c>
      <c r="T346" s="44"/>
      <c r="U346" s="44"/>
      <c r="V346" s="44"/>
      <c r="W346" s="44"/>
      <c r="X346" s="44"/>
      <c r="Y346" s="44"/>
      <c r="Z346" s="44"/>
      <c r="AA346" s="44"/>
      <c r="AB346" s="44"/>
      <c r="AC346" s="44"/>
      <c r="AD346" s="44"/>
      <c r="AE346" s="44"/>
      <c r="AF346" s="44"/>
      <c r="AG346" s="44"/>
      <c r="AH346" s="44"/>
      <c r="AI346" s="44"/>
      <c r="AJ346" s="44"/>
      <c r="AK346" s="44"/>
      <c r="AL346" s="44"/>
    </row>
    <row r="347" spans="1:38" x14ac:dyDescent="0.25">
      <c r="A347" s="55"/>
      <c r="B347" s="265" t="s">
        <v>1317</v>
      </c>
      <c r="C347" s="266" t="s">
        <v>218</v>
      </c>
      <c r="D347" s="265" t="s">
        <v>40</v>
      </c>
      <c r="E347" s="265" t="s">
        <v>219</v>
      </c>
      <c r="F347" s="267" t="s">
        <v>44</v>
      </c>
      <c r="G347" s="277">
        <v>3</v>
      </c>
      <c r="H347" s="268">
        <v>81.19</v>
      </c>
      <c r="I347" s="287">
        <v>9.15</v>
      </c>
      <c r="J347" s="268">
        <v>11.61</v>
      </c>
      <c r="K347" s="292">
        <v>72.040000000000006</v>
      </c>
      <c r="L347" s="268">
        <v>91.4</v>
      </c>
      <c r="M347" s="268">
        <v>103.01</v>
      </c>
      <c r="N347" s="268">
        <v>34.83</v>
      </c>
      <c r="O347" s="268">
        <v>274.2</v>
      </c>
      <c r="P347" s="268">
        <v>309.02999999999997</v>
      </c>
      <c r="Q347" s="269">
        <v>1E-4</v>
      </c>
      <c r="R347" s="44"/>
      <c r="S347" s="49">
        <f t="shared" si="5"/>
        <v>243.57</v>
      </c>
      <c r="T347" s="44"/>
      <c r="U347" s="44"/>
      <c r="V347" s="44"/>
      <c r="W347" s="44"/>
      <c r="X347" s="44"/>
      <c r="Y347" s="44"/>
      <c r="Z347" s="44"/>
      <c r="AA347" s="44"/>
      <c r="AB347" s="44"/>
      <c r="AC347" s="44"/>
      <c r="AD347" s="44"/>
      <c r="AE347" s="44"/>
      <c r="AF347" s="44"/>
      <c r="AG347" s="44"/>
      <c r="AH347" s="44"/>
      <c r="AI347" s="44"/>
      <c r="AJ347" s="44"/>
      <c r="AK347" s="44"/>
      <c r="AL347" s="44"/>
    </row>
    <row r="348" spans="1:38" x14ac:dyDescent="0.25">
      <c r="A348" s="55"/>
      <c r="B348" s="265" t="s">
        <v>1318</v>
      </c>
      <c r="C348" s="266" t="s">
        <v>1532</v>
      </c>
      <c r="D348" s="265" t="s">
        <v>146</v>
      </c>
      <c r="E348" s="265" t="s">
        <v>1533</v>
      </c>
      <c r="F348" s="267" t="s">
        <v>168</v>
      </c>
      <c r="G348" s="277">
        <v>2</v>
      </c>
      <c r="H348" s="268">
        <v>83.13</v>
      </c>
      <c r="I348" s="287">
        <v>24.26</v>
      </c>
      <c r="J348" s="268">
        <v>30.78</v>
      </c>
      <c r="K348" s="292">
        <v>58.87</v>
      </c>
      <c r="L348" s="268">
        <v>74.69</v>
      </c>
      <c r="M348" s="268">
        <v>105.47</v>
      </c>
      <c r="N348" s="268">
        <v>61.56</v>
      </c>
      <c r="O348" s="268">
        <v>149.38</v>
      </c>
      <c r="P348" s="268">
        <v>210.94</v>
      </c>
      <c r="Q348" s="269">
        <v>1E-4</v>
      </c>
      <c r="R348" s="44"/>
      <c r="S348" s="49">
        <f t="shared" si="5"/>
        <v>166.26</v>
      </c>
      <c r="T348" s="44"/>
      <c r="U348" s="44"/>
      <c r="V348" s="44"/>
      <c r="W348" s="44"/>
      <c r="X348" s="44"/>
      <c r="Y348" s="44"/>
      <c r="Z348" s="44"/>
      <c r="AA348" s="44"/>
      <c r="AB348" s="44"/>
      <c r="AC348" s="44"/>
      <c r="AD348" s="44"/>
      <c r="AE348" s="44"/>
      <c r="AF348" s="44"/>
      <c r="AG348" s="44"/>
      <c r="AH348" s="44"/>
      <c r="AI348" s="44"/>
      <c r="AJ348" s="44"/>
      <c r="AK348" s="44"/>
      <c r="AL348" s="44"/>
    </row>
    <row r="349" spans="1:38" x14ac:dyDescent="0.25">
      <c r="A349" s="55"/>
      <c r="B349" s="265" t="s">
        <v>1326</v>
      </c>
      <c r="C349" s="266" t="s">
        <v>709</v>
      </c>
      <c r="D349" s="265" t="s">
        <v>51</v>
      </c>
      <c r="E349" s="265" t="s">
        <v>710</v>
      </c>
      <c r="F349" s="267" t="s">
        <v>44</v>
      </c>
      <c r="G349" s="277">
        <v>21</v>
      </c>
      <c r="H349" s="268">
        <v>10.65</v>
      </c>
      <c r="I349" s="287">
        <v>4.59</v>
      </c>
      <c r="J349" s="268">
        <v>5.82</v>
      </c>
      <c r="K349" s="292">
        <v>6.06</v>
      </c>
      <c r="L349" s="268">
        <v>7.69</v>
      </c>
      <c r="M349" s="268">
        <v>13.51</v>
      </c>
      <c r="N349" s="268">
        <v>122.22</v>
      </c>
      <c r="O349" s="268">
        <v>161.49</v>
      </c>
      <c r="P349" s="268">
        <v>283.70999999999998</v>
      </c>
      <c r="Q349" s="269">
        <v>1E-4</v>
      </c>
      <c r="R349" s="44"/>
      <c r="S349" s="49">
        <f t="shared" si="5"/>
        <v>223.65</v>
      </c>
      <c r="T349" s="44"/>
      <c r="U349" s="44"/>
      <c r="V349" s="44"/>
      <c r="W349" s="44"/>
      <c r="X349" s="44"/>
      <c r="Y349" s="44"/>
      <c r="Z349" s="44"/>
      <c r="AA349" s="44"/>
      <c r="AB349" s="44"/>
      <c r="AC349" s="44"/>
      <c r="AD349" s="44"/>
      <c r="AE349" s="44"/>
      <c r="AF349" s="44"/>
      <c r="AG349" s="44"/>
      <c r="AH349" s="44"/>
      <c r="AI349" s="44"/>
      <c r="AJ349" s="44"/>
      <c r="AK349" s="44"/>
      <c r="AL349" s="44"/>
    </row>
    <row r="350" spans="1:38" x14ac:dyDescent="0.25">
      <c r="A350" s="55"/>
      <c r="B350" s="265" t="s">
        <v>1113</v>
      </c>
      <c r="C350" s="266" t="s">
        <v>228</v>
      </c>
      <c r="D350" s="265" t="s">
        <v>40</v>
      </c>
      <c r="E350" s="265" t="s">
        <v>229</v>
      </c>
      <c r="F350" s="267" t="s">
        <v>44</v>
      </c>
      <c r="G350" s="277">
        <v>1</v>
      </c>
      <c r="H350" s="268">
        <v>142.79</v>
      </c>
      <c r="I350" s="287">
        <v>4.55</v>
      </c>
      <c r="J350" s="268">
        <v>5.77</v>
      </c>
      <c r="K350" s="292">
        <v>138.24</v>
      </c>
      <c r="L350" s="268">
        <v>175.39</v>
      </c>
      <c r="M350" s="268">
        <v>181.16</v>
      </c>
      <c r="N350" s="268">
        <v>5.77</v>
      </c>
      <c r="O350" s="268">
        <v>175.39</v>
      </c>
      <c r="P350" s="268">
        <v>181.16</v>
      </c>
      <c r="Q350" s="269">
        <v>1E-4</v>
      </c>
      <c r="R350" s="44"/>
      <c r="S350" s="49">
        <f t="shared" si="5"/>
        <v>142.79</v>
      </c>
      <c r="T350" s="44"/>
      <c r="U350" s="44"/>
      <c r="V350" s="44"/>
      <c r="W350" s="44"/>
      <c r="X350" s="44"/>
      <c r="Y350" s="44"/>
      <c r="Z350" s="44"/>
      <c r="AA350" s="44"/>
      <c r="AB350" s="44"/>
      <c r="AC350" s="44"/>
      <c r="AD350" s="44"/>
      <c r="AE350" s="44"/>
      <c r="AF350" s="44"/>
      <c r="AG350" s="44"/>
      <c r="AH350" s="44"/>
      <c r="AI350" s="44"/>
      <c r="AJ350" s="44"/>
      <c r="AK350" s="44"/>
      <c r="AL350" s="44"/>
    </row>
    <row r="351" spans="1:38" x14ac:dyDescent="0.25">
      <c r="A351" s="55"/>
      <c r="B351" s="265" t="s">
        <v>1119</v>
      </c>
      <c r="C351" s="266" t="s">
        <v>735</v>
      </c>
      <c r="D351" s="265" t="s">
        <v>40</v>
      </c>
      <c r="E351" s="265" t="s">
        <v>736</v>
      </c>
      <c r="F351" s="267" t="s">
        <v>44</v>
      </c>
      <c r="G351" s="277">
        <v>20</v>
      </c>
      <c r="H351" s="268">
        <v>7.52</v>
      </c>
      <c r="I351" s="287">
        <v>1.25</v>
      </c>
      <c r="J351" s="268">
        <v>1.59</v>
      </c>
      <c r="K351" s="292">
        <v>6.27</v>
      </c>
      <c r="L351" s="268">
        <v>7.95</v>
      </c>
      <c r="M351" s="268">
        <v>9.5399999999999991</v>
      </c>
      <c r="N351" s="268">
        <v>31.8</v>
      </c>
      <c r="O351" s="268">
        <v>159</v>
      </c>
      <c r="P351" s="268">
        <v>190.8</v>
      </c>
      <c r="Q351" s="269">
        <v>1E-4</v>
      </c>
      <c r="R351" s="44"/>
      <c r="S351" s="49">
        <f t="shared" si="5"/>
        <v>150.4</v>
      </c>
      <c r="T351" s="44"/>
      <c r="U351" s="44"/>
      <c r="V351" s="44"/>
      <c r="W351" s="44"/>
      <c r="X351" s="44"/>
      <c r="Y351" s="44"/>
      <c r="Z351" s="44"/>
      <c r="AA351" s="44"/>
      <c r="AB351" s="44"/>
      <c r="AC351" s="44"/>
      <c r="AD351" s="44"/>
      <c r="AE351" s="44"/>
      <c r="AF351" s="44"/>
      <c r="AG351" s="44"/>
      <c r="AH351" s="44"/>
      <c r="AI351" s="44"/>
      <c r="AJ351" s="44"/>
      <c r="AK351" s="44"/>
      <c r="AL351" s="44"/>
    </row>
    <row r="352" spans="1:38" x14ac:dyDescent="0.25">
      <c r="A352" s="55"/>
      <c r="B352" s="265" t="s">
        <v>603</v>
      </c>
      <c r="C352" s="266" t="s">
        <v>1152</v>
      </c>
      <c r="D352" s="265" t="s">
        <v>146</v>
      </c>
      <c r="E352" s="265" t="s">
        <v>1153</v>
      </c>
      <c r="F352" s="267" t="s">
        <v>168</v>
      </c>
      <c r="G352" s="277">
        <v>48</v>
      </c>
      <c r="H352" s="268">
        <v>2.25</v>
      </c>
      <c r="I352" s="287">
        <v>2.0299999999999998</v>
      </c>
      <c r="J352" s="268">
        <v>2.58</v>
      </c>
      <c r="K352" s="292">
        <v>0.22</v>
      </c>
      <c r="L352" s="268">
        <v>0.28000000000000003</v>
      </c>
      <c r="M352" s="268">
        <v>2.86</v>
      </c>
      <c r="N352" s="268">
        <v>123.84</v>
      </c>
      <c r="O352" s="268">
        <v>13.44</v>
      </c>
      <c r="P352" s="268">
        <v>137.28</v>
      </c>
      <c r="Q352" s="269">
        <v>1E-4</v>
      </c>
      <c r="R352" s="44"/>
      <c r="S352" s="49">
        <f t="shared" si="5"/>
        <v>108</v>
      </c>
      <c r="T352" s="44"/>
      <c r="U352" s="44"/>
      <c r="V352" s="44"/>
      <c r="W352" s="44"/>
      <c r="X352" s="44"/>
      <c r="Y352" s="44"/>
      <c r="Z352" s="44"/>
      <c r="AA352" s="44"/>
      <c r="AB352" s="44"/>
      <c r="AC352" s="44"/>
      <c r="AD352" s="44"/>
      <c r="AE352" s="44"/>
      <c r="AF352" s="44"/>
      <c r="AG352" s="44"/>
      <c r="AH352" s="44"/>
      <c r="AI352" s="44"/>
      <c r="AJ352" s="44"/>
      <c r="AK352" s="44"/>
      <c r="AL352" s="44"/>
    </row>
    <row r="353" spans="1:38" x14ac:dyDescent="0.25">
      <c r="A353" s="55"/>
      <c r="B353" s="265" t="s">
        <v>1434</v>
      </c>
      <c r="C353" s="266" t="s">
        <v>1435</v>
      </c>
      <c r="D353" s="265" t="s">
        <v>51</v>
      </c>
      <c r="E353" s="265" t="s">
        <v>1436</v>
      </c>
      <c r="F353" s="267" t="s">
        <v>44</v>
      </c>
      <c r="G353" s="277">
        <v>1</v>
      </c>
      <c r="H353" s="268">
        <v>206.05</v>
      </c>
      <c r="I353" s="287">
        <v>34.56</v>
      </c>
      <c r="J353" s="268">
        <v>41.15</v>
      </c>
      <c r="K353" s="292">
        <v>171.49</v>
      </c>
      <c r="L353" s="268">
        <v>204.19</v>
      </c>
      <c r="M353" s="268">
        <v>245.34</v>
      </c>
      <c r="N353" s="268">
        <v>41.15</v>
      </c>
      <c r="O353" s="268">
        <v>204.19</v>
      </c>
      <c r="P353" s="268">
        <v>245.34</v>
      </c>
      <c r="Q353" s="269">
        <v>1E-4</v>
      </c>
      <c r="R353" s="44"/>
      <c r="S353" s="49">
        <f t="shared" si="5"/>
        <v>206.05</v>
      </c>
      <c r="T353" s="44"/>
      <c r="U353" s="44"/>
      <c r="V353" s="44"/>
      <c r="W353" s="44"/>
      <c r="X353" s="44"/>
      <c r="Y353" s="44"/>
      <c r="Z353" s="44"/>
      <c r="AA353" s="44"/>
      <c r="AB353" s="44"/>
      <c r="AC353" s="44"/>
      <c r="AD353" s="44"/>
      <c r="AE353" s="44"/>
      <c r="AF353" s="44"/>
      <c r="AG353" s="44"/>
      <c r="AH353" s="44"/>
      <c r="AI353" s="44"/>
      <c r="AJ353" s="44"/>
      <c r="AK353" s="44"/>
      <c r="AL353" s="44"/>
    </row>
    <row r="354" spans="1:38" x14ac:dyDescent="0.25">
      <c r="A354" s="55"/>
      <c r="B354" s="265" t="s">
        <v>1338</v>
      </c>
      <c r="C354" s="266" t="s">
        <v>737</v>
      </c>
      <c r="D354" s="265" t="s">
        <v>199</v>
      </c>
      <c r="E354" s="265" t="s">
        <v>775</v>
      </c>
      <c r="F354" s="267" t="s">
        <v>393</v>
      </c>
      <c r="G354" s="277">
        <v>10</v>
      </c>
      <c r="H354" s="268">
        <v>21.15</v>
      </c>
      <c r="I354" s="287">
        <v>9.1300000000000008</v>
      </c>
      <c r="J354" s="268">
        <v>11.58</v>
      </c>
      <c r="K354" s="292">
        <v>12.02</v>
      </c>
      <c r="L354" s="268">
        <v>15.25</v>
      </c>
      <c r="M354" s="268">
        <v>26.83</v>
      </c>
      <c r="N354" s="268">
        <v>115.8</v>
      </c>
      <c r="O354" s="268">
        <v>152.5</v>
      </c>
      <c r="P354" s="268">
        <v>268.3</v>
      </c>
      <c r="Q354" s="269">
        <v>1E-4</v>
      </c>
      <c r="R354" s="44"/>
      <c r="S354" s="49">
        <f t="shared" si="5"/>
        <v>211.5</v>
      </c>
      <c r="T354" s="44"/>
      <c r="U354" s="44"/>
      <c r="V354" s="44"/>
      <c r="W354" s="44"/>
      <c r="X354" s="44"/>
      <c r="Y354" s="44"/>
      <c r="Z354" s="44"/>
      <c r="AA354" s="44"/>
      <c r="AB354" s="44"/>
      <c r="AC354" s="44"/>
      <c r="AD354" s="44"/>
      <c r="AE354" s="44"/>
      <c r="AF354" s="44"/>
      <c r="AG354" s="44"/>
      <c r="AH354" s="44"/>
      <c r="AI354" s="44"/>
      <c r="AJ354" s="44"/>
      <c r="AK354" s="44"/>
      <c r="AL354" s="44"/>
    </row>
    <row r="355" spans="1:38" ht="27.6" x14ac:dyDescent="0.25">
      <c r="A355" s="55"/>
      <c r="B355" s="265" t="s">
        <v>285</v>
      </c>
      <c r="C355" s="266" t="s">
        <v>301</v>
      </c>
      <c r="D355" s="265" t="s">
        <v>40</v>
      </c>
      <c r="E355" s="265" t="s">
        <v>302</v>
      </c>
      <c r="F355" s="267" t="s">
        <v>44</v>
      </c>
      <c r="G355" s="277">
        <v>10</v>
      </c>
      <c r="H355" s="268">
        <v>21.33</v>
      </c>
      <c r="I355" s="287">
        <v>10.1</v>
      </c>
      <c r="J355" s="268">
        <v>12.81</v>
      </c>
      <c r="K355" s="292">
        <v>11.23</v>
      </c>
      <c r="L355" s="268">
        <v>14.25</v>
      </c>
      <c r="M355" s="268">
        <v>27.06</v>
      </c>
      <c r="N355" s="268">
        <v>128.1</v>
      </c>
      <c r="O355" s="268">
        <v>142.5</v>
      </c>
      <c r="P355" s="268">
        <v>270.60000000000002</v>
      </c>
      <c r="Q355" s="269">
        <v>1E-4</v>
      </c>
      <c r="R355" s="44"/>
      <c r="S355" s="49">
        <f t="shared" si="5"/>
        <v>213.3</v>
      </c>
      <c r="T355" s="44"/>
      <c r="U355" s="44"/>
      <c r="V355" s="44"/>
      <c r="W355" s="44"/>
      <c r="X355" s="44"/>
      <c r="Y355" s="44"/>
      <c r="Z355" s="44"/>
      <c r="AA355" s="44"/>
      <c r="AB355" s="44"/>
      <c r="AC355" s="44"/>
      <c r="AD355" s="44"/>
      <c r="AE355" s="44"/>
      <c r="AF355" s="44"/>
      <c r="AG355" s="44"/>
      <c r="AH355" s="44"/>
      <c r="AI355" s="44"/>
      <c r="AJ355" s="44"/>
      <c r="AK355" s="44"/>
      <c r="AL355" s="44"/>
    </row>
    <row r="356" spans="1:38" ht="27.6" x14ac:dyDescent="0.25">
      <c r="A356" s="55"/>
      <c r="B356" s="265" t="s">
        <v>1161</v>
      </c>
      <c r="C356" s="266" t="s">
        <v>303</v>
      </c>
      <c r="D356" s="265" t="s">
        <v>40</v>
      </c>
      <c r="E356" s="265" t="s">
        <v>304</v>
      </c>
      <c r="F356" s="267" t="s">
        <v>44</v>
      </c>
      <c r="G356" s="277">
        <v>10</v>
      </c>
      <c r="H356" s="268">
        <v>10.27</v>
      </c>
      <c r="I356" s="287">
        <v>5.0599999999999996</v>
      </c>
      <c r="J356" s="268">
        <v>6.42</v>
      </c>
      <c r="K356" s="292">
        <v>5.21</v>
      </c>
      <c r="L356" s="268">
        <v>6.61</v>
      </c>
      <c r="M356" s="268">
        <v>13.03</v>
      </c>
      <c r="N356" s="268">
        <v>64.2</v>
      </c>
      <c r="O356" s="268">
        <v>66.099999999999994</v>
      </c>
      <c r="P356" s="268">
        <v>130.30000000000001</v>
      </c>
      <c r="Q356" s="269">
        <v>1E-4</v>
      </c>
      <c r="R356" s="44"/>
      <c r="S356" s="49">
        <f t="shared" si="5"/>
        <v>102.7</v>
      </c>
      <c r="T356" s="44"/>
      <c r="U356" s="44"/>
      <c r="V356" s="44"/>
      <c r="W356" s="44"/>
      <c r="X356" s="44"/>
      <c r="Y356" s="44"/>
      <c r="Z356" s="44"/>
      <c r="AA356" s="44"/>
      <c r="AB356" s="44"/>
      <c r="AC356" s="44"/>
      <c r="AD356" s="44"/>
      <c r="AE356" s="44"/>
      <c r="AF356" s="44"/>
      <c r="AG356" s="44"/>
      <c r="AH356" s="44"/>
      <c r="AI356" s="44"/>
      <c r="AJ356" s="44"/>
      <c r="AK356" s="44"/>
      <c r="AL356" s="44"/>
    </row>
    <row r="357" spans="1:38" x14ac:dyDescent="0.25">
      <c r="A357" s="55"/>
      <c r="B357" s="265" t="s">
        <v>1162</v>
      </c>
      <c r="C357" s="266" t="s">
        <v>1437</v>
      </c>
      <c r="D357" s="265" t="s">
        <v>100</v>
      </c>
      <c r="E357" s="265" t="s">
        <v>1438</v>
      </c>
      <c r="F357" s="267" t="s">
        <v>44</v>
      </c>
      <c r="G357" s="277">
        <v>2</v>
      </c>
      <c r="H357" s="268">
        <v>136.07</v>
      </c>
      <c r="I357" s="287">
        <v>5.96</v>
      </c>
      <c r="J357" s="268">
        <v>7.56</v>
      </c>
      <c r="K357" s="292">
        <v>130.11000000000001</v>
      </c>
      <c r="L357" s="268">
        <v>165.07</v>
      </c>
      <c r="M357" s="268">
        <v>172.63</v>
      </c>
      <c r="N357" s="268">
        <v>15.12</v>
      </c>
      <c r="O357" s="268">
        <v>330.14</v>
      </c>
      <c r="P357" s="268">
        <v>345.26</v>
      </c>
      <c r="Q357" s="269">
        <v>1E-4</v>
      </c>
      <c r="R357" s="44"/>
      <c r="S357" s="49">
        <f t="shared" si="5"/>
        <v>272.14</v>
      </c>
      <c r="T357" s="44"/>
      <c r="U357" s="44"/>
      <c r="V357" s="44"/>
      <c r="W357" s="44"/>
      <c r="X357" s="44"/>
      <c r="Y357" s="44"/>
      <c r="Z357" s="44"/>
      <c r="AA357" s="44"/>
      <c r="AB357" s="44"/>
      <c r="AC357" s="44"/>
      <c r="AD357" s="44"/>
      <c r="AE357" s="44"/>
      <c r="AF357" s="44"/>
      <c r="AG357" s="44"/>
      <c r="AH357" s="44"/>
      <c r="AI357" s="44"/>
      <c r="AJ357" s="44"/>
      <c r="AK357" s="44"/>
      <c r="AL357" s="44"/>
    </row>
    <row r="358" spans="1:38" ht="27.6" x14ac:dyDescent="0.25">
      <c r="A358" s="55"/>
      <c r="B358" s="265" t="s">
        <v>129</v>
      </c>
      <c r="C358" s="266" t="s">
        <v>1450</v>
      </c>
      <c r="D358" s="265" t="s">
        <v>40</v>
      </c>
      <c r="E358" s="265" t="s">
        <v>1451</v>
      </c>
      <c r="F358" s="267" t="s">
        <v>65</v>
      </c>
      <c r="G358" s="277">
        <v>5.9</v>
      </c>
      <c r="H358" s="268">
        <v>9.3699999999999992</v>
      </c>
      <c r="I358" s="287">
        <v>0.37</v>
      </c>
      <c r="J358" s="268">
        <v>0.47</v>
      </c>
      <c r="K358" s="292">
        <v>9</v>
      </c>
      <c r="L358" s="268">
        <v>11.42</v>
      </c>
      <c r="M358" s="268">
        <v>11.89</v>
      </c>
      <c r="N358" s="268">
        <v>2.77</v>
      </c>
      <c r="O358" s="268">
        <v>67.38</v>
      </c>
      <c r="P358" s="268">
        <v>70.150000000000006</v>
      </c>
      <c r="Q358" s="269">
        <v>0</v>
      </c>
      <c r="R358" s="44"/>
      <c r="S358" s="49">
        <f t="shared" si="5"/>
        <v>55.28</v>
      </c>
      <c r="T358" s="44"/>
      <c r="U358" s="44"/>
      <c r="V358" s="44"/>
      <c r="W358" s="44"/>
      <c r="X358" s="44"/>
      <c r="Y358" s="44"/>
      <c r="Z358" s="44"/>
      <c r="AA358" s="44"/>
      <c r="AB358" s="44"/>
      <c r="AC358" s="44"/>
      <c r="AD358" s="44"/>
      <c r="AE358" s="44"/>
      <c r="AF358" s="44"/>
      <c r="AG358" s="44"/>
      <c r="AH358" s="44"/>
      <c r="AI358" s="44"/>
      <c r="AJ358" s="44"/>
      <c r="AK358" s="44"/>
      <c r="AL358" s="44"/>
    </row>
    <row r="359" spans="1:38" ht="27.6" x14ac:dyDescent="0.25">
      <c r="A359" s="55"/>
      <c r="B359" s="265" t="s">
        <v>132</v>
      </c>
      <c r="C359" s="266" t="s">
        <v>1002</v>
      </c>
      <c r="D359" s="265" t="s">
        <v>100</v>
      </c>
      <c r="E359" s="265" t="s">
        <v>1003</v>
      </c>
      <c r="F359" s="267" t="s">
        <v>59</v>
      </c>
      <c r="G359" s="277">
        <v>42.8</v>
      </c>
      <c r="H359" s="268">
        <v>0</v>
      </c>
      <c r="I359" s="287"/>
      <c r="J359" s="268">
        <v>0</v>
      </c>
      <c r="K359" s="292"/>
      <c r="L359" s="268">
        <v>0</v>
      </c>
      <c r="M359" s="268">
        <v>0</v>
      </c>
      <c r="N359" s="268">
        <v>0</v>
      </c>
      <c r="O359" s="268">
        <v>0</v>
      </c>
      <c r="P359" s="268">
        <v>0</v>
      </c>
      <c r="Q359" s="269">
        <v>0</v>
      </c>
      <c r="R359" s="44"/>
      <c r="S359" s="49">
        <f t="shared" si="5"/>
        <v>0</v>
      </c>
      <c r="T359" s="44"/>
      <c r="U359" s="44"/>
      <c r="V359" s="44"/>
      <c r="W359" s="44"/>
      <c r="X359" s="44"/>
      <c r="Y359" s="44"/>
      <c r="Z359" s="44"/>
      <c r="AA359" s="44"/>
      <c r="AB359" s="44"/>
      <c r="AC359" s="44"/>
      <c r="AD359" s="44"/>
      <c r="AE359" s="44"/>
      <c r="AF359" s="44"/>
      <c r="AG359" s="44"/>
      <c r="AH359" s="44"/>
      <c r="AI359" s="44"/>
      <c r="AJ359" s="44"/>
      <c r="AK359" s="44"/>
      <c r="AL359" s="44"/>
    </row>
    <row r="360" spans="1:38" ht="41.4" x14ac:dyDescent="0.25">
      <c r="A360" s="55"/>
      <c r="B360" s="293" t="s">
        <v>810</v>
      </c>
      <c r="C360" s="266" t="s">
        <v>1018</v>
      </c>
      <c r="D360" s="265" t="s">
        <v>551</v>
      </c>
      <c r="E360" s="265" t="s">
        <v>1019</v>
      </c>
      <c r="F360" s="267" t="s">
        <v>41</v>
      </c>
      <c r="G360" s="277">
        <v>17.760000000000002</v>
      </c>
      <c r="H360" s="268">
        <v>0</v>
      </c>
      <c r="I360" s="287"/>
      <c r="J360" s="268">
        <v>0</v>
      </c>
      <c r="K360" s="292"/>
      <c r="L360" s="268">
        <v>0</v>
      </c>
      <c r="M360" s="268">
        <v>0</v>
      </c>
      <c r="N360" s="268">
        <v>0</v>
      </c>
      <c r="O360" s="268">
        <v>0</v>
      </c>
      <c r="P360" s="268">
        <v>0</v>
      </c>
      <c r="Q360" s="269">
        <v>0</v>
      </c>
      <c r="R360" s="44"/>
      <c r="S360" s="49">
        <f t="shared" si="5"/>
        <v>0</v>
      </c>
      <c r="T360" s="44"/>
      <c r="U360" s="44"/>
      <c r="V360" s="44"/>
      <c r="W360" s="44"/>
      <c r="X360" s="44"/>
      <c r="Y360" s="44"/>
      <c r="Z360" s="44"/>
      <c r="AA360" s="44"/>
      <c r="AB360" s="44"/>
      <c r="AC360" s="44"/>
      <c r="AD360" s="44"/>
      <c r="AE360" s="44"/>
      <c r="AF360" s="44"/>
      <c r="AG360" s="44"/>
      <c r="AH360" s="44"/>
      <c r="AI360" s="44"/>
      <c r="AJ360" s="44"/>
      <c r="AK360" s="44"/>
      <c r="AL360" s="44"/>
    </row>
    <row r="361" spans="1:38" x14ac:dyDescent="0.25">
      <c r="A361" s="55"/>
      <c r="B361" s="265" t="s">
        <v>823</v>
      </c>
      <c r="C361" s="266" t="s">
        <v>828</v>
      </c>
      <c r="D361" s="265" t="s">
        <v>199</v>
      </c>
      <c r="E361" s="265" t="s">
        <v>829</v>
      </c>
      <c r="F361" s="267" t="s">
        <v>168</v>
      </c>
      <c r="G361" s="277">
        <v>26</v>
      </c>
      <c r="H361" s="268">
        <v>0</v>
      </c>
      <c r="I361" s="287"/>
      <c r="J361" s="268">
        <v>0</v>
      </c>
      <c r="K361" s="292"/>
      <c r="L361" s="268">
        <v>0</v>
      </c>
      <c r="M361" s="268">
        <v>0</v>
      </c>
      <c r="N361" s="268">
        <v>0</v>
      </c>
      <c r="O361" s="268">
        <v>0</v>
      </c>
      <c r="P361" s="268">
        <v>0</v>
      </c>
      <c r="Q361" s="269">
        <v>0</v>
      </c>
      <c r="R361" s="44"/>
      <c r="S361" s="49">
        <f t="shared" si="5"/>
        <v>0</v>
      </c>
      <c r="T361" s="44"/>
      <c r="U361" s="44"/>
      <c r="V361" s="44"/>
      <c r="W361" s="44"/>
      <c r="X361" s="44"/>
      <c r="Y361" s="44"/>
      <c r="Z361" s="44"/>
      <c r="AA361" s="44"/>
      <c r="AB361" s="44"/>
      <c r="AC361" s="44"/>
      <c r="AD361" s="44"/>
      <c r="AE361" s="44"/>
      <c r="AF361" s="44"/>
      <c r="AG361" s="44"/>
      <c r="AH361" s="44"/>
      <c r="AI361" s="44"/>
      <c r="AJ361" s="44"/>
      <c r="AK361" s="44"/>
      <c r="AL361" s="44"/>
    </row>
    <row r="362" spans="1:38" x14ac:dyDescent="0.25">
      <c r="A362" s="55"/>
      <c r="B362" s="265" t="s">
        <v>578</v>
      </c>
      <c r="C362" s="266" t="s">
        <v>848</v>
      </c>
      <c r="D362" s="265" t="s">
        <v>51</v>
      </c>
      <c r="E362" s="265" t="s">
        <v>849</v>
      </c>
      <c r="F362" s="267" t="s">
        <v>44</v>
      </c>
      <c r="G362" s="277">
        <v>1</v>
      </c>
      <c r="H362" s="268">
        <v>73.36</v>
      </c>
      <c r="I362" s="287">
        <v>3.22</v>
      </c>
      <c r="J362" s="268">
        <v>4.09</v>
      </c>
      <c r="K362" s="292">
        <v>70.14</v>
      </c>
      <c r="L362" s="268">
        <v>88.99</v>
      </c>
      <c r="M362" s="268">
        <v>93.08</v>
      </c>
      <c r="N362" s="268">
        <v>4.09</v>
      </c>
      <c r="O362" s="268">
        <v>88.99</v>
      </c>
      <c r="P362" s="268">
        <v>93.08</v>
      </c>
      <c r="Q362" s="269">
        <v>0</v>
      </c>
      <c r="R362" s="44"/>
      <c r="S362" s="49">
        <f t="shared" si="5"/>
        <v>73.36</v>
      </c>
      <c r="T362" s="44"/>
      <c r="U362" s="44"/>
      <c r="V362" s="44"/>
      <c r="W362" s="44"/>
      <c r="X362" s="44"/>
      <c r="Y362" s="44"/>
      <c r="Z362" s="44"/>
      <c r="AA362" s="44"/>
      <c r="AB362" s="44"/>
      <c r="AC362" s="44"/>
      <c r="AD362" s="44"/>
      <c r="AE362" s="44"/>
      <c r="AF362" s="44"/>
      <c r="AG362" s="44"/>
      <c r="AH362" s="44"/>
      <c r="AI362" s="44"/>
      <c r="AJ362" s="44"/>
      <c r="AK362" s="44"/>
      <c r="AL362" s="44"/>
    </row>
    <row r="363" spans="1:38" x14ac:dyDescent="0.25">
      <c r="A363" s="55"/>
      <c r="B363" s="265" t="s">
        <v>1198</v>
      </c>
      <c r="C363" s="266" t="s">
        <v>591</v>
      </c>
      <c r="D363" s="265" t="s">
        <v>40</v>
      </c>
      <c r="E363" s="265" t="s">
        <v>592</v>
      </c>
      <c r="F363" s="267" t="s">
        <v>44</v>
      </c>
      <c r="G363" s="277">
        <v>1</v>
      </c>
      <c r="H363" s="268">
        <v>69.55</v>
      </c>
      <c r="I363" s="287">
        <v>8.7100000000000009</v>
      </c>
      <c r="J363" s="268">
        <v>11.05</v>
      </c>
      <c r="K363" s="292">
        <v>60.84</v>
      </c>
      <c r="L363" s="268">
        <v>77.19</v>
      </c>
      <c r="M363" s="268">
        <v>88.24</v>
      </c>
      <c r="N363" s="268">
        <v>11.05</v>
      </c>
      <c r="O363" s="268">
        <v>77.19</v>
      </c>
      <c r="P363" s="268">
        <v>88.24</v>
      </c>
      <c r="Q363" s="269">
        <v>0</v>
      </c>
      <c r="R363" s="44"/>
      <c r="S363" s="49">
        <f t="shared" si="5"/>
        <v>69.55</v>
      </c>
      <c r="T363" s="44"/>
      <c r="U363" s="44"/>
      <c r="V363" s="44"/>
      <c r="W363" s="44"/>
      <c r="X363" s="44"/>
      <c r="Y363" s="44"/>
      <c r="Z363" s="44"/>
      <c r="AA363" s="44"/>
      <c r="AB363" s="44"/>
      <c r="AC363" s="44"/>
      <c r="AD363" s="44"/>
      <c r="AE363" s="44"/>
      <c r="AF363" s="44"/>
      <c r="AG363" s="44"/>
      <c r="AH363" s="44"/>
      <c r="AI363" s="44"/>
      <c r="AJ363" s="44"/>
      <c r="AK363" s="44"/>
      <c r="AL363" s="44"/>
    </row>
    <row r="364" spans="1:38" ht="27.6" customHeight="1" x14ac:dyDescent="0.25">
      <c r="A364" s="55"/>
      <c r="B364" s="265" t="s">
        <v>1199</v>
      </c>
      <c r="C364" s="266">
        <v>94681</v>
      </c>
      <c r="D364" s="265" t="s">
        <v>40</v>
      </c>
      <c r="E364" s="265" t="s">
        <v>598</v>
      </c>
      <c r="F364" s="267" t="s">
        <v>44</v>
      </c>
      <c r="G364" s="277">
        <v>1</v>
      </c>
      <c r="H364" s="268">
        <v>43.28</v>
      </c>
      <c r="I364" s="287">
        <v>6.24</v>
      </c>
      <c r="J364" s="268">
        <v>7.92</v>
      </c>
      <c r="K364" s="292">
        <v>37.04</v>
      </c>
      <c r="L364" s="268">
        <v>46.99</v>
      </c>
      <c r="M364" s="268">
        <v>54.91</v>
      </c>
      <c r="N364" s="268">
        <v>7.92</v>
      </c>
      <c r="O364" s="268">
        <v>46.99</v>
      </c>
      <c r="P364" s="268">
        <v>54.91</v>
      </c>
      <c r="Q364" s="269">
        <v>0</v>
      </c>
      <c r="R364" s="44"/>
      <c r="S364" s="49">
        <f t="shared" si="5"/>
        <v>43.28</v>
      </c>
      <c r="T364" s="44"/>
      <c r="U364" s="44"/>
      <c r="V364" s="44"/>
      <c r="W364" s="44"/>
      <c r="X364" s="44"/>
      <c r="Y364" s="44"/>
      <c r="Z364" s="44"/>
      <c r="AA364" s="44"/>
      <c r="AB364" s="44"/>
      <c r="AC364" s="44"/>
      <c r="AD364" s="44"/>
      <c r="AE364" s="44"/>
      <c r="AF364" s="44"/>
      <c r="AG364" s="44"/>
      <c r="AH364" s="44"/>
      <c r="AI364" s="44"/>
      <c r="AJ364" s="44"/>
      <c r="AK364" s="44"/>
      <c r="AL364" s="44"/>
    </row>
    <row r="365" spans="1:38" ht="41.4" x14ac:dyDescent="0.25">
      <c r="A365" s="55"/>
      <c r="B365" s="265" t="s">
        <v>1200</v>
      </c>
      <c r="C365" s="266" t="s">
        <v>601</v>
      </c>
      <c r="D365" s="265" t="s">
        <v>40</v>
      </c>
      <c r="E365" s="265" t="s">
        <v>602</v>
      </c>
      <c r="F365" s="267" t="s">
        <v>44</v>
      </c>
      <c r="G365" s="277">
        <v>3</v>
      </c>
      <c r="H365" s="268">
        <v>9.4</v>
      </c>
      <c r="I365" s="287">
        <v>3.09</v>
      </c>
      <c r="J365" s="268">
        <v>3.92</v>
      </c>
      <c r="K365" s="292">
        <v>6.31</v>
      </c>
      <c r="L365" s="268">
        <v>8.01</v>
      </c>
      <c r="M365" s="268">
        <v>11.93</v>
      </c>
      <c r="N365" s="268">
        <v>11.76</v>
      </c>
      <c r="O365" s="268">
        <v>24.03</v>
      </c>
      <c r="P365" s="268">
        <v>35.79</v>
      </c>
      <c r="Q365" s="269">
        <v>0</v>
      </c>
      <c r="R365" s="44"/>
      <c r="S365" s="49">
        <f t="shared" si="5"/>
        <v>28.2</v>
      </c>
      <c r="T365" s="44"/>
      <c r="U365" s="44"/>
      <c r="V365" s="44"/>
      <c r="W365" s="44"/>
      <c r="X365" s="44"/>
      <c r="Y365" s="44"/>
      <c r="Z365" s="44"/>
      <c r="AA365" s="44"/>
      <c r="AB365" s="44"/>
      <c r="AC365" s="44"/>
      <c r="AD365" s="44"/>
      <c r="AE365" s="44"/>
      <c r="AF365" s="44"/>
      <c r="AG365" s="44"/>
      <c r="AH365" s="44"/>
      <c r="AI365" s="44"/>
      <c r="AJ365" s="44"/>
      <c r="AK365" s="44"/>
      <c r="AL365" s="44"/>
    </row>
    <row r="366" spans="1:38" x14ac:dyDescent="0.25">
      <c r="A366" s="55"/>
      <c r="B366" s="265" t="s">
        <v>1205</v>
      </c>
      <c r="C366" s="266" t="s">
        <v>395</v>
      </c>
      <c r="D366" s="265" t="s">
        <v>40</v>
      </c>
      <c r="E366" s="265" t="s">
        <v>396</v>
      </c>
      <c r="F366" s="267" t="s">
        <v>44</v>
      </c>
      <c r="G366" s="277">
        <v>1</v>
      </c>
      <c r="H366" s="268">
        <v>39.549999999999997</v>
      </c>
      <c r="I366" s="287">
        <v>3.65</v>
      </c>
      <c r="J366" s="268">
        <v>4.63</v>
      </c>
      <c r="K366" s="292">
        <v>35.9</v>
      </c>
      <c r="L366" s="268">
        <v>45.55</v>
      </c>
      <c r="M366" s="268">
        <v>50.18</v>
      </c>
      <c r="N366" s="268">
        <v>4.63</v>
      </c>
      <c r="O366" s="268">
        <v>45.55</v>
      </c>
      <c r="P366" s="268">
        <v>50.18</v>
      </c>
      <c r="Q366" s="269">
        <v>0</v>
      </c>
      <c r="R366" s="44"/>
      <c r="S366" s="49">
        <f t="shared" si="5"/>
        <v>39.549999999999997</v>
      </c>
      <c r="T366" s="44"/>
      <c r="U366" s="44"/>
      <c r="V366" s="44"/>
      <c r="W366" s="44"/>
      <c r="X366" s="44"/>
      <c r="Y366" s="44"/>
      <c r="Z366" s="44"/>
      <c r="AA366" s="44"/>
      <c r="AB366" s="44"/>
      <c r="AC366" s="44"/>
      <c r="AD366" s="44"/>
      <c r="AE366" s="44"/>
      <c r="AF366" s="44"/>
      <c r="AG366" s="44"/>
      <c r="AH366" s="44"/>
      <c r="AI366" s="44"/>
      <c r="AJ366" s="44"/>
      <c r="AK366" s="44"/>
      <c r="AL366" s="44"/>
    </row>
    <row r="367" spans="1:38" ht="27.6" x14ac:dyDescent="0.25">
      <c r="A367" s="55"/>
      <c r="B367" s="265" t="s">
        <v>1210</v>
      </c>
      <c r="C367" s="266" t="s">
        <v>616</v>
      </c>
      <c r="D367" s="265" t="s">
        <v>40</v>
      </c>
      <c r="E367" s="265" t="s">
        <v>617</v>
      </c>
      <c r="F367" s="267" t="s">
        <v>55</v>
      </c>
      <c r="G367" s="277">
        <v>1</v>
      </c>
      <c r="H367" s="268">
        <v>95.03</v>
      </c>
      <c r="I367" s="287">
        <v>10.130000000000001</v>
      </c>
      <c r="J367" s="268">
        <v>12.85</v>
      </c>
      <c r="K367" s="292">
        <v>84.9</v>
      </c>
      <c r="L367" s="268">
        <v>107.71</v>
      </c>
      <c r="M367" s="268">
        <v>120.56</v>
      </c>
      <c r="N367" s="268">
        <v>12.85</v>
      </c>
      <c r="O367" s="268">
        <v>107.71</v>
      </c>
      <c r="P367" s="268">
        <v>120.56</v>
      </c>
      <c r="Q367" s="269">
        <v>0</v>
      </c>
      <c r="R367" s="44"/>
      <c r="S367" s="49">
        <f t="shared" si="5"/>
        <v>95.03</v>
      </c>
      <c r="T367" s="44"/>
      <c r="U367" s="44"/>
      <c r="V367" s="44"/>
      <c r="W367" s="44"/>
      <c r="X367" s="44"/>
      <c r="Y367" s="44"/>
      <c r="Z367" s="44"/>
      <c r="AA367" s="44"/>
      <c r="AB367" s="44"/>
      <c r="AC367" s="44"/>
      <c r="AD367" s="44"/>
      <c r="AE367" s="44"/>
      <c r="AF367" s="44"/>
      <c r="AG367" s="44"/>
      <c r="AH367" s="44"/>
      <c r="AI367" s="44"/>
      <c r="AJ367" s="44"/>
      <c r="AK367" s="44"/>
      <c r="AL367" s="44"/>
    </row>
    <row r="368" spans="1:38" ht="27.6" x14ac:dyDescent="0.25">
      <c r="A368" s="55"/>
      <c r="B368" s="265" t="s">
        <v>1211</v>
      </c>
      <c r="C368" s="266" t="s">
        <v>618</v>
      </c>
      <c r="D368" s="265" t="s">
        <v>40</v>
      </c>
      <c r="E368" s="265" t="s">
        <v>619</v>
      </c>
      <c r="F368" s="267" t="s">
        <v>44</v>
      </c>
      <c r="G368" s="277">
        <v>3</v>
      </c>
      <c r="H368" s="268">
        <v>6.11</v>
      </c>
      <c r="I368" s="287">
        <v>3.15</v>
      </c>
      <c r="J368" s="268">
        <v>4</v>
      </c>
      <c r="K368" s="292">
        <v>2.96</v>
      </c>
      <c r="L368" s="268">
        <v>3.76</v>
      </c>
      <c r="M368" s="268">
        <v>7.76</v>
      </c>
      <c r="N368" s="268">
        <v>12</v>
      </c>
      <c r="O368" s="268">
        <v>11.28</v>
      </c>
      <c r="P368" s="268">
        <v>23.28</v>
      </c>
      <c r="Q368" s="269">
        <v>0</v>
      </c>
      <c r="R368" s="44"/>
      <c r="S368" s="49">
        <f t="shared" si="5"/>
        <v>18.329999999999998</v>
      </c>
      <c r="T368" s="44"/>
      <c r="U368" s="44"/>
      <c r="V368" s="44"/>
      <c r="W368" s="44"/>
      <c r="X368" s="44"/>
      <c r="Y368" s="44"/>
      <c r="Z368" s="44"/>
      <c r="AA368" s="44"/>
      <c r="AB368" s="44"/>
      <c r="AC368" s="44"/>
      <c r="AD368" s="44"/>
      <c r="AE368" s="44"/>
      <c r="AF368" s="44"/>
      <c r="AG368" s="44"/>
      <c r="AH368" s="44"/>
      <c r="AI368" s="44"/>
      <c r="AJ368" s="44"/>
      <c r="AK368" s="44"/>
      <c r="AL368" s="44"/>
    </row>
    <row r="369" spans="1:38" ht="27.6" x14ac:dyDescent="0.25">
      <c r="A369" s="55"/>
      <c r="B369" s="265" t="s">
        <v>1212</v>
      </c>
      <c r="C369" s="266">
        <v>89593</v>
      </c>
      <c r="D369" s="265" t="s">
        <v>40</v>
      </c>
      <c r="E369" s="265" t="s">
        <v>620</v>
      </c>
      <c r="F369" s="267" t="s">
        <v>44</v>
      </c>
      <c r="G369" s="277">
        <v>2</v>
      </c>
      <c r="H369" s="268">
        <v>22.14</v>
      </c>
      <c r="I369" s="287">
        <v>2.42</v>
      </c>
      <c r="J369" s="268">
        <v>3.07</v>
      </c>
      <c r="K369" s="292">
        <v>19.72</v>
      </c>
      <c r="L369" s="268">
        <v>25.02</v>
      </c>
      <c r="M369" s="268">
        <v>28.09</v>
      </c>
      <c r="N369" s="268">
        <v>6.14</v>
      </c>
      <c r="O369" s="268">
        <v>50.04</v>
      </c>
      <c r="P369" s="268">
        <v>56.18</v>
      </c>
      <c r="Q369" s="269">
        <v>0</v>
      </c>
      <c r="R369" s="44"/>
      <c r="S369" s="49">
        <f t="shared" si="5"/>
        <v>44.28</v>
      </c>
      <c r="T369" s="44"/>
      <c r="U369" s="44"/>
      <c r="V369" s="44"/>
      <c r="W369" s="44"/>
      <c r="X369" s="44"/>
      <c r="Y369" s="44"/>
      <c r="Z369" s="44"/>
      <c r="AA369" s="44"/>
      <c r="AB369" s="44"/>
      <c r="AC369" s="44"/>
      <c r="AD369" s="44"/>
      <c r="AE369" s="44"/>
      <c r="AF369" s="44"/>
      <c r="AG369" s="44"/>
      <c r="AH369" s="44"/>
      <c r="AI369" s="44"/>
      <c r="AJ369" s="44"/>
      <c r="AK369" s="44"/>
      <c r="AL369" s="44"/>
    </row>
    <row r="370" spans="1:38" ht="27.6" x14ac:dyDescent="0.25">
      <c r="A370" s="55"/>
      <c r="B370" s="265" t="s">
        <v>1214</v>
      </c>
      <c r="C370" s="266" t="s">
        <v>623</v>
      </c>
      <c r="D370" s="265" t="s">
        <v>40</v>
      </c>
      <c r="E370" s="265" t="s">
        <v>1075</v>
      </c>
      <c r="F370" s="267" t="s">
        <v>44</v>
      </c>
      <c r="G370" s="277">
        <v>1</v>
      </c>
      <c r="H370" s="268">
        <v>15.31</v>
      </c>
      <c r="I370" s="287">
        <v>4.32</v>
      </c>
      <c r="J370" s="268">
        <v>5.48</v>
      </c>
      <c r="K370" s="292">
        <v>10.99</v>
      </c>
      <c r="L370" s="268">
        <v>13.94</v>
      </c>
      <c r="M370" s="268">
        <v>19.420000000000002</v>
      </c>
      <c r="N370" s="268">
        <v>5.48</v>
      </c>
      <c r="O370" s="268">
        <v>13.94</v>
      </c>
      <c r="P370" s="268">
        <v>19.420000000000002</v>
      </c>
      <c r="Q370" s="269">
        <v>0</v>
      </c>
      <c r="R370" s="44"/>
      <c r="S370" s="49">
        <f t="shared" si="5"/>
        <v>15.31</v>
      </c>
      <c r="T370" s="44"/>
      <c r="U370" s="44"/>
      <c r="V370" s="44"/>
      <c r="W370" s="44"/>
      <c r="X370" s="44"/>
      <c r="Y370" s="44"/>
      <c r="Z370" s="44"/>
      <c r="AA370" s="44"/>
      <c r="AB370" s="44"/>
      <c r="AC370" s="44"/>
      <c r="AD370" s="44"/>
      <c r="AE370" s="44"/>
      <c r="AF370" s="44"/>
      <c r="AG370" s="44"/>
      <c r="AH370" s="44"/>
      <c r="AI370" s="44"/>
      <c r="AJ370" s="44"/>
      <c r="AK370" s="44"/>
      <c r="AL370" s="44"/>
    </row>
    <row r="371" spans="1:38" ht="27.6" x14ac:dyDescent="0.25">
      <c r="A371" s="55"/>
      <c r="B371" s="265" t="s">
        <v>1215</v>
      </c>
      <c r="C371" s="266" t="s">
        <v>624</v>
      </c>
      <c r="D371" s="265" t="s">
        <v>40</v>
      </c>
      <c r="E371" s="265" t="s">
        <v>625</v>
      </c>
      <c r="F371" s="267" t="s">
        <v>44</v>
      </c>
      <c r="G371" s="277">
        <v>4</v>
      </c>
      <c r="H371" s="268">
        <v>8.43</v>
      </c>
      <c r="I371" s="287">
        <v>2.1800000000000002</v>
      </c>
      <c r="J371" s="268">
        <v>2.77</v>
      </c>
      <c r="K371" s="292">
        <v>6.25</v>
      </c>
      <c r="L371" s="268">
        <v>7.93</v>
      </c>
      <c r="M371" s="268">
        <v>10.7</v>
      </c>
      <c r="N371" s="268">
        <v>11.08</v>
      </c>
      <c r="O371" s="268">
        <v>31.72</v>
      </c>
      <c r="P371" s="268">
        <v>42.8</v>
      </c>
      <c r="Q371" s="269">
        <v>0</v>
      </c>
      <c r="R371" s="44"/>
      <c r="S371" s="49">
        <f t="shared" si="5"/>
        <v>33.72</v>
      </c>
      <c r="T371" s="44"/>
      <c r="U371" s="44"/>
      <c r="V371" s="44"/>
      <c r="W371" s="44"/>
      <c r="X371" s="44"/>
      <c r="Y371" s="44"/>
      <c r="Z371" s="44"/>
      <c r="AA371" s="44"/>
      <c r="AB371" s="44"/>
      <c r="AC371" s="44"/>
      <c r="AD371" s="44"/>
      <c r="AE371" s="44"/>
      <c r="AF371" s="44"/>
      <c r="AG371" s="44"/>
      <c r="AH371" s="44"/>
      <c r="AI371" s="44"/>
      <c r="AJ371" s="44"/>
      <c r="AK371" s="44"/>
      <c r="AL371" s="44"/>
    </row>
    <row r="372" spans="1:38" ht="27.6" x14ac:dyDescent="0.25">
      <c r="A372" s="55"/>
      <c r="B372" s="265" t="s">
        <v>1217</v>
      </c>
      <c r="C372" s="266" t="s">
        <v>628</v>
      </c>
      <c r="D372" s="265" t="s">
        <v>40</v>
      </c>
      <c r="E372" s="265" t="s">
        <v>629</v>
      </c>
      <c r="F372" s="267" t="s">
        <v>44</v>
      </c>
      <c r="G372" s="277">
        <v>1</v>
      </c>
      <c r="H372" s="268">
        <v>11.53</v>
      </c>
      <c r="I372" s="287">
        <v>3.35</v>
      </c>
      <c r="J372" s="268">
        <v>4.25</v>
      </c>
      <c r="K372" s="292">
        <v>8.18</v>
      </c>
      <c r="L372" s="268">
        <v>10.38</v>
      </c>
      <c r="M372" s="268">
        <v>14.63</v>
      </c>
      <c r="N372" s="268">
        <v>4.25</v>
      </c>
      <c r="O372" s="268">
        <v>10.38</v>
      </c>
      <c r="P372" s="268">
        <v>14.63</v>
      </c>
      <c r="Q372" s="269">
        <v>0</v>
      </c>
      <c r="R372" s="44"/>
      <c r="S372" s="49">
        <f t="shared" si="5"/>
        <v>11.53</v>
      </c>
      <c r="T372" s="44"/>
      <c r="U372" s="44"/>
      <c r="V372" s="44"/>
      <c r="W372" s="44"/>
      <c r="X372" s="44"/>
      <c r="Y372" s="44"/>
      <c r="Z372" s="44"/>
      <c r="AA372" s="44"/>
      <c r="AB372" s="44"/>
      <c r="AC372" s="44"/>
      <c r="AD372" s="44"/>
      <c r="AE372" s="44"/>
      <c r="AF372" s="44"/>
      <c r="AG372" s="44"/>
      <c r="AH372" s="44"/>
      <c r="AI372" s="44"/>
      <c r="AJ372" s="44"/>
      <c r="AK372" s="44"/>
      <c r="AL372" s="44"/>
    </row>
    <row r="373" spans="1:38" ht="27.6" x14ac:dyDescent="0.25">
      <c r="A373" s="55"/>
      <c r="B373" s="265" t="s">
        <v>1219</v>
      </c>
      <c r="C373" s="266" t="s">
        <v>632</v>
      </c>
      <c r="D373" s="265" t="s">
        <v>40</v>
      </c>
      <c r="E373" s="265" t="s">
        <v>633</v>
      </c>
      <c r="F373" s="267" t="s">
        <v>44</v>
      </c>
      <c r="G373" s="277">
        <v>1</v>
      </c>
      <c r="H373" s="268">
        <v>32.909999999999997</v>
      </c>
      <c r="I373" s="287">
        <v>2.8</v>
      </c>
      <c r="J373" s="268">
        <v>3.55</v>
      </c>
      <c r="K373" s="292">
        <v>30.11</v>
      </c>
      <c r="L373" s="268">
        <v>38.200000000000003</v>
      </c>
      <c r="M373" s="268">
        <v>41.75</v>
      </c>
      <c r="N373" s="268">
        <v>3.55</v>
      </c>
      <c r="O373" s="268">
        <v>38.200000000000003</v>
      </c>
      <c r="P373" s="268">
        <v>41.75</v>
      </c>
      <c r="Q373" s="269">
        <v>0</v>
      </c>
      <c r="R373" s="44"/>
      <c r="S373" s="49">
        <f t="shared" si="5"/>
        <v>32.909999999999997</v>
      </c>
      <c r="T373" s="44"/>
      <c r="U373" s="44"/>
      <c r="V373" s="44"/>
      <c r="W373" s="44"/>
      <c r="X373" s="44"/>
      <c r="Y373" s="44"/>
      <c r="Z373" s="44"/>
      <c r="AA373" s="44"/>
      <c r="AB373" s="44"/>
      <c r="AC373" s="44"/>
      <c r="AD373" s="44"/>
      <c r="AE373" s="44"/>
      <c r="AF373" s="44"/>
      <c r="AG373" s="44"/>
      <c r="AH373" s="44"/>
      <c r="AI373" s="44"/>
      <c r="AJ373" s="44"/>
      <c r="AK373" s="44"/>
      <c r="AL373" s="44"/>
    </row>
    <row r="374" spans="1:38" ht="27.6" x14ac:dyDescent="0.25">
      <c r="A374" s="55"/>
      <c r="B374" s="265" t="s">
        <v>1225</v>
      </c>
      <c r="C374" s="266" t="s">
        <v>162</v>
      </c>
      <c r="D374" s="265" t="s">
        <v>40</v>
      </c>
      <c r="E374" s="265" t="s">
        <v>163</v>
      </c>
      <c r="F374" s="267" t="s">
        <v>44</v>
      </c>
      <c r="G374" s="277">
        <v>1</v>
      </c>
      <c r="H374" s="268">
        <v>18.02</v>
      </c>
      <c r="I374" s="287">
        <v>5.8</v>
      </c>
      <c r="J374" s="268">
        <v>7.36</v>
      </c>
      <c r="K374" s="292">
        <v>12.22</v>
      </c>
      <c r="L374" s="268">
        <v>15.5</v>
      </c>
      <c r="M374" s="268">
        <v>22.86</v>
      </c>
      <c r="N374" s="268">
        <v>7.36</v>
      </c>
      <c r="O374" s="268">
        <v>15.5</v>
      </c>
      <c r="P374" s="268">
        <v>22.86</v>
      </c>
      <c r="Q374" s="269">
        <v>0</v>
      </c>
      <c r="R374" s="44"/>
      <c r="S374" s="49">
        <f t="shared" si="5"/>
        <v>18.02</v>
      </c>
      <c r="T374" s="44"/>
      <c r="U374" s="44"/>
      <c r="V374" s="44"/>
      <c r="W374" s="44"/>
      <c r="X374" s="44"/>
      <c r="Y374" s="44"/>
      <c r="Z374" s="44"/>
      <c r="AA374" s="44"/>
      <c r="AB374" s="44"/>
      <c r="AC374" s="44"/>
      <c r="AD374" s="44"/>
      <c r="AE374" s="44"/>
      <c r="AF374" s="44"/>
      <c r="AG374" s="44"/>
      <c r="AH374" s="44"/>
      <c r="AI374" s="44"/>
      <c r="AJ374" s="44"/>
      <c r="AK374" s="44"/>
      <c r="AL374" s="44"/>
    </row>
    <row r="375" spans="1:38" ht="41.4" x14ac:dyDescent="0.25">
      <c r="A375" s="55"/>
      <c r="B375" s="265" t="s">
        <v>1226</v>
      </c>
      <c r="C375" s="266" t="s">
        <v>1474</v>
      </c>
      <c r="D375" s="265" t="s">
        <v>40</v>
      </c>
      <c r="E375" s="265" t="s">
        <v>1475</v>
      </c>
      <c r="F375" s="267" t="s">
        <v>44</v>
      </c>
      <c r="G375" s="277">
        <v>1</v>
      </c>
      <c r="H375" s="268">
        <v>8.17</v>
      </c>
      <c r="I375" s="287">
        <v>2.5299999999999998</v>
      </c>
      <c r="J375" s="268">
        <v>3.21</v>
      </c>
      <c r="K375" s="292">
        <v>5.64</v>
      </c>
      <c r="L375" s="268">
        <v>7.16</v>
      </c>
      <c r="M375" s="268">
        <v>10.37</v>
      </c>
      <c r="N375" s="268">
        <v>3.21</v>
      </c>
      <c r="O375" s="268">
        <v>7.16</v>
      </c>
      <c r="P375" s="268">
        <v>10.37</v>
      </c>
      <c r="Q375" s="269">
        <v>0</v>
      </c>
      <c r="R375" s="44"/>
      <c r="S375" s="49">
        <f t="shared" si="5"/>
        <v>8.17</v>
      </c>
      <c r="T375" s="44"/>
      <c r="U375" s="44"/>
      <c r="V375" s="44"/>
      <c r="W375" s="44"/>
      <c r="X375" s="44"/>
      <c r="Y375" s="44"/>
      <c r="Z375" s="44"/>
      <c r="AA375" s="44"/>
      <c r="AB375" s="44"/>
      <c r="AC375" s="44"/>
      <c r="AD375" s="44"/>
      <c r="AE375" s="44"/>
      <c r="AF375" s="44"/>
      <c r="AG375" s="44"/>
      <c r="AH375" s="44"/>
      <c r="AI375" s="44"/>
      <c r="AJ375" s="44"/>
      <c r="AK375" s="44"/>
      <c r="AL375" s="44"/>
    </row>
    <row r="376" spans="1:38" ht="27.6" x14ac:dyDescent="0.25">
      <c r="A376" s="55"/>
      <c r="B376" s="265" t="s">
        <v>1229</v>
      </c>
      <c r="C376" s="266" t="s">
        <v>1476</v>
      </c>
      <c r="D376" s="265" t="s">
        <v>40</v>
      </c>
      <c r="E376" s="265" t="s">
        <v>1477</v>
      </c>
      <c r="F376" s="267" t="s">
        <v>44</v>
      </c>
      <c r="G376" s="277">
        <v>2</v>
      </c>
      <c r="H376" s="268">
        <v>45.74</v>
      </c>
      <c r="I376" s="287">
        <v>2.61</v>
      </c>
      <c r="J376" s="268">
        <v>3.31</v>
      </c>
      <c r="K376" s="292">
        <v>43.13</v>
      </c>
      <c r="L376" s="268">
        <v>54.72</v>
      </c>
      <c r="M376" s="268">
        <v>58.03</v>
      </c>
      <c r="N376" s="268">
        <v>6.62</v>
      </c>
      <c r="O376" s="268">
        <v>109.44</v>
      </c>
      <c r="P376" s="268">
        <v>116.06</v>
      </c>
      <c r="Q376" s="269">
        <v>0</v>
      </c>
      <c r="R376" s="44"/>
      <c r="S376" s="49">
        <f t="shared" si="5"/>
        <v>91.48</v>
      </c>
      <c r="T376" s="44"/>
      <c r="U376" s="44"/>
      <c r="V376" s="44"/>
      <c r="W376" s="44"/>
      <c r="X376" s="44"/>
      <c r="Y376" s="44"/>
      <c r="Z376" s="44"/>
      <c r="AA376" s="44"/>
      <c r="AB376" s="44"/>
      <c r="AC376" s="44"/>
      <c r="AD376" s="44"/>
      <c r="AE376" s="44"/>
      <c r="AF376" s="44"/>
      <c r="AG376" s="44"/>
      <c r="AH376" s="44"/>
      <c r="AI376" s="44"/>
      <c r="AJ376" s="44"/>
      <c r="AK376" s="44"/>
      <c r="AL376" s="44"/>
    </row>
    <row r="377" spans="1:38" ht="27.6" x14ac:dyDescent="0.25">
      <c r="A377" s="55"/>
      <c r="B377" s="265" t="s">
        <v>1231</v>
      </c>
      <c r="C377" s="266" t="s">
        <v>1480</v>
      </c>
      <c r="D377" s="265" t="s">
        <v>40</v>
      </c>
      <c r="E377" s="265" t="s">
        <v>1481</v>
      </c>
      <c r="F377" s="267" t="s">
        <v>44</v>
      </c>
      <c r="G377" s="277">
        <v>4</v>
      </c>
      <c r="H377" s="268">
        <v>7.01</v>
      </c>
      <c r="I377" s="287">
        <v>3.29</v>
      </c>
      <c r="J377" s="268">
        <v>4.17</v>
      </c>
      <c r="K377" s="292">
        <v>3.72</v>
      </c>
      <c r="L377" s="268">
        <v>4.72</v>
      </c>
      <c r="M377" s="268">
        <v>8.89</v>
      </c>
      <c r="N377" s="268">
        <v>16.68</v>
      </c>
      <c r="O377" s="268">
        <v>18.88</v>
      </c>
      <c r="P377" s="268">
        <v>35.56</v>
      </c>
      <c r="Q377" s="269">
        <v>0</v>
      </c>
      <c r="R377" s="44"/>
      <c r="S377" s="49">
        <f t="shared" si="5"/>
        <v>28.04</v>
      </c>
      <c r="T377" s="44"/>
      <c r="U377" s="44"/>
      <c r="V377" s="44"/>
      <c r="W377" s="44"/>
      <c r="X377" s="44"/>
      <c r="Y377" s="44"/>
      <c r="Z377" s="44"/>
      <c r="AA377" s="44"/>
      <c r="AB377" s="44"/>
      <c r="AC377" s="44"/>
      <c r="AD377" s="44"/>
      <c r="AE377" s="44"/>
      <c r="AF377" s="44"/>
      <c r="AG377" s="44"/>
      <c r="AH377" s="44"/>
      <c r="AI377" s="44"/>
      <c r="AJ377" s="44"/>
      <c r="AK377" s="44"/>
      <c r="AL377" s="44"/>
    </row>
    <row r="378" spans="1:38" ht="27.6" x14ac:dyDescent="0.25">
      <c r="A378" s="55"/>
      <c r="B378" s="265" t="s">
        <v>1232</v>
      </c>
      <c r="C378" s="266">
        <v>103948</v>
      </c>
      <c r="D378" s="265" t="s">
        <v>40</v>
      </c>
      <c r="E378" s="265" t="s">
        <v>634</v>
      </c>
      <c r="F378" s="267" t="s">
        <v>44</v>
      </c>
      <c r="G378" s="277">
        <v>1</v>
      </c>
      <c r="H378" s="268">
        <v>6.71</v>
      </c>
      <c r="I378" s="287">
        <v>3.71</v>
      </c>
      <c r="J378" s="268">
        <v>4.71</v>
      </c>
      <c r="K378" s="292">
        <v>3</v>
      </c>
      <c r="L378" s="268">
        <v>3.81</v>
      </c>
      <c r="M378" s="268">
        <v>8.52</v>
      </c>
      <c r="N378" s="268">
        <v>4.71</v>
      </c>
      <c r="O378" s="268">
        <v>3.81</v>
      </c>
      <c r="P378" s="268">
        <v>8.52</v>
      </c>
      <c r="Q378" s="269">
        <v>0</v>
      </c>
      <c r="R378" s="44"/>
      <c r="S378" s="49">
        <f t="shared" si="5"/>
        <v>6.71</v>
      </c>
      <c r="T378" s="44"/>
      <c r="U378" s="44"/>
      <c r="V378" s="44"/>
      <c r="W378" s="44"/>
      <c r="X378" s="44"/>
      <c r="Y378" s="44"/>
      <c r="Z378" s="44"/>
      <c r="AA378" s="44"/>
      <c r="AB378" s="44"/>
      <c r="AC378" s="44"/>
      <c r="AD378" s="44"/>
      <c r="AE378" s="44"/>
      <c r="AF378" s="44"/>
      <c r="AG378" s="44"/>
      <c r="AH378" s="44"/>
      <c r="AI378" s="44"/>
      <c r="AJ378" s="44"/>
      <c r="AK378" s="44"/>
      <c r="AL378" s="44"/>
    </row>
    <row r="379" spans="1:38" ht="27.6" x14ac:dyDescent="0.25">
      <c r="A379" s="55"/>
      <c r="B379" s="265" t="s">
        <v>1233</v>
      </c>
      <c r="C379" s="266" t="s">
        <v>635</v>
      </c>
      <c r="D379" s="265" t="s">
        <v>40</v>
      </c>
      <c r="E379" s="265" t="s">
        <v>636</v>
      </c>
      <c r="F379" s="267" t="s">
        <v>44</v>
      </c>
      <c r="G379" s="277">
        <v>6</v>
      </c>
      <c r="H379" s="268">
        <v>14.18</v>
      </c>
      <c r="I379" s="287">
        <v>5.36</v>
      </c>
      <c r="J379" s="268">
        <v>6.8</v>
      </c>
      <c r="K379" s="292">
        <v>8.82</v>
      </c>
      <c r="L379" s="268">
        <v>11.19</v>
      </c>
      <c r="M379" s="268">
        <v>17.989999999999998</v>
      </c>
      <c r="N379" s="268">
        <v>40.799999999999997</v>
      </c>
      <c r="O379" s="268">
        <v>67.14</v>
      </c>
      <c r="P379" s="268">
        <v>107.94</v>
      </c>
      <c r="Q379" s="269">
        <v>0</v>
      </c>
      <c r="R379" s="44"/>
      <c r="S379" s="49">
        <f t="shared" si="5"/>
        <v>85.08</v>
      </c>
      <c r="T379" s="44"/>
      <c r="U379" s="44"/>
      <c r="V379" s="44"/>
      <c r="W379" s="44"/>
      <c r="X379" s="44"/>
      <c r="Y379" s="44"/>
      <c r="Z379" s="44"/>
      <c r="AA379" s="44"/>
      <c r="AB379" s="44"/>
      <c r="AC379" s="44"/>
      <c r="AD379" s="44"/>
      <c r="AE379" s="44"/>
      <c r="AF379" s="44"/>
      <c r="AG379" s="44"/>
      <c r="AH379" s="44"/>
      <c r="AI379" s="44"/>
      <c r="AJ379" s="44"/>
      <c r="AK379" s="44"/>
      <c r="AL379" s="44"/>
    </row>
    <row r="380" spans="1:38" ht="27.6" x14ac:dyDescent="0.25">
      <c r="A380" s="55"/>
      <c r="B380" s="265" t="s">
        <v>1236</v>
      </c>
      <c r="C380" s="266">
        <v>89400</v>
      </c>
      <c r="D380" s="265" t="s">
        <v>40</v>
      </c>
      <c r="E380" s="265" t="s">
        <v>639</v>
      </c>
      <c r="F380" s="267" t="s">
        <v>44</v>
      </c>
      <c r="G380" s="277">
        <v>1</v>
      </c>
      <c r="H380" s="268">
        <v>17.36</v>
      </c>
      <c r="I380" s="287">
        <v>7.38</v>
      </c>
      <c r="J380" s="268">
        <v>9.36</v>
      </c>
      <c r="K380" s="292">
        <v>9.98</v>
      </c>
      <c r="L380" s="268">
        <v>12.66</v>
      </c>
      <c r="M380" s="268">
        <v>22.02</v>
      </c>
      <c r="N380" s="268">
        <v>9.36</v>
      </c>
      <c r="O380" s="268">
        <v>12.66</v>
      </c>
      <c r="P380" s="268">
        <v>22.02</v>
      </c>
      <c r="Q380" s="269">
        <v>0</v>
      </c>
      <c r="R380" s="44"/>
      <c r="S380" s="49">
        <f t="shared" si="5"/>
        <v>17.36</v>
      </c>
      <c r="T380" s="44"/>
      <c r="U380" s="44"/>
      <c r="V380" s="44"/>
      <c r="W380" s="44"/>
      <c r="X380" s="44"/>
      <c r="Y380" s="44"/>
      <c r="Z380" s="44"/>
      <c r="AA380" s="44"/>
      <c r="AB380" s="44"/>
      <c r="AC380" s="44"/>
      <c r="AD380" s="44"/>
      <c r="AE380" s="44"/>
      <c r="AF380" s="44"/>
      <c r="AG380" s="44"/>
      <c r="AH380" s="44"/>
      <c r="AI380" s="44"/>
      <c r="AJ380" s="44"/>
      <c r="AK380" s="44"/>
      <c r="AL380" s="44"/>
    </row>
    <row r="381" spans="1:38" ht="27.6" x14ac:dyDescent="0.25">
      <c r="A381" s="55"/>
      <c r="B381" s="265" t="s">
        <v>1242</v>
      </c>
      <c r="C381" s="266" t="s">
        <v>344</v>
      </c>
      <c r="D381" s="265" t="s">
        <v>40</v>
      </c>
      <c r="E381" s="265" t="s">
        <v>345</v>
      </c>
      <c r="F381" s="267" t="s">
        <v>44</v>
      </c>
      <c r="G381" s="277">
        <v>4</v>
      </c>
      <c r="H381" s="268">
        <v>16.690000000000001</v>
      </c>
      <c r="I381" s="287">
        <v>5.47</v>
      </c>
      <c r="J381" s="268">
        <v>6.94</v>
      </c>
      <c r="K381" s="292">
        <v>11.22</v>
      </c>
      <c r="L381" s="268">
        <v>14.23</v>
      </c>
      <c r="M381" s="268">
        <v>21.17</v>
      </c>
      <c r="N381" s="268">
        <v>27.76</v>
      </c>
      <c r="O381" s="268">
        <v>56.92</v>
      </c>
      <c r="P381" s="268">
        <v>84.68</v>
      </c>
      <c r="Q381" s="269">
        <v>0</v>
      </c>
      <c r="R381" s="44"/>
      <c r="S381" s="49">
        <f t="shared" si="5"/>
        <v>66.760000000000005</v>
      </c>
      <c r="T381" s="44"/>
      <c r="U381" s="44"/>
      <c r="V381" s="44"/>
      <c r="W381" s="44"/>
      <c r="X381" s="44"/>
      <c r="Y381" s="44"/>
      <c r="Z381" s="44"/>
      <c r="AA381" s="44"/>
      <c r="AB381" s="44"/>
      <c r="AC381" s="44"/>
      <c r="AD381" s="44"/>
      <c r="AE381" s="44"/>
      <c r="AF381" s="44"/>
      <c r="AG381" s="44"/>
      <c r="AH381" s="44"/>
      <c r="AI381" s="44"/>
      <c r="AJ381" s="44"/>
      <c r="AK381" s="44"/>
      <c r="AL381" s="44"/>
    </row>
    <row r="382" spans="1:38" x14ac:dyDescent="0.25">
      <c r="A382" s="55"/>
      <c r="B382" s="265" t="s">
        <v>1244</v>
      </c>
      <c r="C382" s="266" t="s">
        <v>644</v>
      </c>
      <c r="D382" s="265" t="s">
        <v>40</v>
      </c>
      <c r="E382" s="265" t="s">
        <v>1106</v>
      </c>
      <c r="F382" s="267" t="s">
        <v>44</v>
      </c>
      <c r="G382" s="277">
        <v>2</v>
      </c>
      <c r="H382" s="268">
        <v>18.329999999999998</v>
      </c>
      <c r="I382" s="287">
        <v>3.09</v>
      </c>
      <c r="J382" s="268">
        <v>3.92</v>
      </c>
      <c r="K382" s="292">
        <v>15.24</v>
      </c>
      <c r="L382" s="268">
        <v>19.329999999999998</v>
      </c>
      <c r="M382" s="268">
        <v>23.25</v>
      </c>
      <c r="N382" s="268">
        <v>7.84</v>
      </c>
      <c r="O382" s="268">
        <v>38.659999999999997</v>
      </c>
      <c r="P382" s="268">
        <v>46.5</v>
      </c>
      <c r="Q382" s="269">
        <v>0</v>
      </c>
      <c r="R382" s="44"/>
      <c r="S382" s="49">
        <f t="shared" si="5"/>
        <v>36.659999999999997</v>
      </c>
      <c r="T382" s="44"/>
      <c r="U382" s="44"/>
      <c r="V382" s="44"/>
      <c r="W382" s="44"/>
      <c r="X382" s="44"/>
      <c r="Y382" s="44"/>
      <c r="Z382" s="44"/>
      <c r="AA382" s="44"/>
      <c r="AB382" s="44"/>
      <c r="AC382" s="44"/>
      <c r="AD382" s="44"/>
      <c r="AE382" s="44"/>
      <c r="AF382" s="44"/>
      <c r="AG382" s="44"/>
      <c r="AH382" s="44"/>
      <c r="AI382" s="44"/>
      <c r="AJ382" s="44"/>
      <c r="AK382" s="44"/>
      <c r="AL382" s="44"/>
    </row>
    <row r="383" spans="1:38" ht="27.6" x14ac:dyDescent="0.25">
      <c r="A383" s="55"/>
      <c r="B383" s="265" t="s">
        <v>1252</v>
      </c>
      <c r="C383" s="266" t="s">
        <v>191</v>
      </c>
      <c r="D383" s="265" t="s">
        <v>40</v>
      </c>
      <c r="E383" s="265" t="s">
        <v>192</v>
      </c>
      <c r="F383" s="267" t="s">
        <v>44</v>
      </c>
      <c r="G383" s="277">
        <v>4</v>
      </c>
      <c r="H383" s="268">
        <v>14.21</v>
      </c>
      <c r="I383" s="287">
        <v>4.5599999999999996</v>
      </c>
      <c r="J383" s="268">
        <v>5.79</v>
      </c>
      <c r="K383" s="292">
        <v>9.65</v>
      </c>
      <c r="L383" s="268">
        <v>12.24</v>
      </c>
      <c r="M383" s="268">
        <v>18.03</v>
      </c>
      <c r="N383" s="268">
        <v>23.16</v>
      </c>
      <c r="O383" s="268">
        <v>48.96</v>
      </c>
      <c r="P383" s="268">
        <v>72.12</v>
      </c>
      <c r="Q383" s="269">
        <v>0</v>
      </c>
      <c r="R383" s="44"/>
      <c r="S383" s="49">
        <f t="shared" si="5"/>
        <v>56.84</v>
      </c>
      <c r="T383" s="44"/>
      <c r="U383" s="44"/>
      <c r="V383" s="44"/>
      <c r="W383" s="44"/>
      <c r="X383" s="44"/>
      <c r="Y383" s="44"/>
      <c r="Z383" s="44"/>
      <c r="AA383" s="44"/>
      <c r="AB383" s="44"/>
      <c r="AC383" s="44"/>
      <c r="AD383" s="44"/>
      <c r="AE383" s="44"/>
      <c r="AF383" s="44"/>
      <c r="AG383" s="44"/>
      <c r="AH383" s="44"/>
      <c r="AI383" s="44"/>
      <c r="AJ383" s="44"/>
      <c r="AK383" s="44"/>
      <c r="AL383" s="44"/>
    </row>
    <row r="384" spans="1:38" ht="41.4" x14ac:dyDescent="0.25">
      <c r="A384" s="55"/>
      <c r="B384" s="265" t="s">
        <v>1255</v>
      </c>
      <c r="C384" s="266" t="s">
        <v>1486</v>
      </c>
      <c r="D384" s="265" t="s">
        <v>40</v>
      </c>
      <c r="E384" s="265" t="s">
        <v>1487</v>
      </c>
      <c r="F384" s="267" t="s">
        <v>44</v>
      </c>
      <c r="G384" s="277">
        <v>1</v>
      </c>
      <c r="H384" s="268">
        <v>45.37</v>
      </c>
      <c r="I384" s="287">
        <v>8.11</v>
      </c>
      <c r="J384" s="268">
        <v>10.29</v>
      </c>
      <c r="K384" s="292">
        <v>37.26</v>
      </c>
      <c r="L384" s="268">
        <v>47.27</v>
      </c>
      <c r="M384" s="268">
        <v>57.56</v>
      </c>
      <c r="N384" s="268">
        <v>10.29</v>
      </c>
      <c r="O384" s="268">
        <v>47.27</v>
      </c>
      <c r="P384" s="268">
        <v>57.56</v>
      </c>
      <c r="Q384" s="269">
        <v>0</v>
      </c>
      <c r="R384" s="44"/>
      <c r="S384" s="49">
        <f t="shared" si="5"/>
        <v>45.37</v>
      </c>
      <c r="T384" s="44"/>
      <c r="U384" s="44"/>
      <c r="V384" s="44"/>
      <c r="W384" s="44"/>
      <c r="X384" s="44"/>
      <c r="Y384" s="44"/>
      <c r="Z384" s="44"/>
      <c r="AA384" s="44"/>
      <c r="AB384" s="44"/>
      <c r="AC384" s="44"/>
      <c r="AD384" s="44"/>
      <c r="AE384" s="44"/>
      <c r="AF384" s="44"/>
      <c r="AG384" s="44"/>
      <c r="AH384" s="44"/>
      <c r="AI384" s="44"/>
      <c r="AJ384" s="44"/>
      <c r="AK384" s="44"/>
      <c r="AL384" s="44"/>
    </row>
    <row r="385" spans="1:38" ht="27.6" x14ac:dyDescent="0.25">
      <c r="A385" s="55"/>
      <c r="B385" s="265" t="s">
        <v>1256</v>
      </c>
      <c r="C385" s="266" t="s">
        <v>653</v>
      </c>
      <c r="D385" s="265" t="s">
        <v>40</v>
      </c>
      <c r="E385" s="265" t="s">
        <v>654</v>
      </c>
      <c r="F385" s="267" t="s">
        <v>44</v>
      </c>
      <c r="G385" s="277">
        <v>7</v>
      </c>
      <c r="H385" s="268">
        <v>12.88</v>
      </c>
      <c r="I385" s="287">
        <v>5.63</v>
      </c>
      <c r="J385" s="268">
        <v>7.14</v>
      </c>
      <c r="K385" s="292">
        <v>7.25</v>
      </c>
      <c r="L385" s="268">
        <v>9.1999999999999993</v>
      </c>
      <c r="M385" s="268">
        <v>16.34</v>
      </c>
      <c r="N385" s="268">
        <v>49.98</v>
      </c>
      <c r="O385" s="268">
        <v>64.400000000000006</v>
      </c>
      <c r="P385" s="268">
        <v>114.38</v>
      </c>
      <c r="Q385" s="269">
        <v>0</v>
      </c>
      <c r="R385" s="44"/>
      <c r="S385" s="49">
        <f t="shared" si="5"/>
        <v>90.16</v>
      </c>
      <c r="T385" s="44"/>
      <c r="U385" s="44"/>
      <c r="V385" s="44"/>
      <c r="W385" s="44"/>
      <c r="X385" s="44"/>
      <c r="Y385" s="44"/>
      <c r="Z385" s="44"/>
      <c r="AA385" s="44"/>
      <c r="AB385" s="44"/>
      <c r="AC385" s="44"/>
      <c r="AD385" s="44"/>
      <c r="AE385" s="44"/>
      <c r="AF385" s="44"/>
      <c r="AG385" s="44"/>
      <c r="AH385" s="44"/>
      <c r="AI385" s="44"/>
      <c r="AJ385" s="44"/>
      <c r="AK385" s="44"/>
      <c r="AL385" s="44"/>
    </row>
    <row r="386" spans="1:38" ht="27.6" x14ac:dyDescent="0.25">
      <c r="A386" s="55"/>
      <c r="B386" s="265" t="s">
        <v>1257</v>
      </c>
      <c r="C386" s="266" t="s">
        <v>1488</v>
      </c>
      <c r="D386" s="265" t="s">
        <v>40</v>
      </c>
      <c r="E386" s="265" t="s">
        <v>1489</v>
      </c>
      <c r="F386" s="267" t="s">
        <v>44</v>
      </c>
      <c r="G386" s="277">
        <v>1</v>
      </c>
      <c r="H386" s="268">
        <v>25.18</v>
      </c>
      <c r="I386" s="287">
        <v>6.09</v>
      </c>
      <c r="J386" s="268">
        <v>7.73</v>
      </c>
      <c r="K386" s="292">
        <v>19.09</v>
      </c>
      <c r="L386" s="268">
        <v>24.22</v>
      </c>
      <c r="M386" s="268">
        <v>31.95</v>
      </c>
      <c r="N386" s="268">
        <v>7.73</v>
      </c>
      <c r="O386" s="268">
        <v>24.22</v>
      </c>
      <c r="P386" s="268">
        <v>31.95</v>
      </c>
      <c r="Q386" s="269">
        <v>0</v>
      </c>
      <c r="R386" s="44"/>
      <c r="S386" s="49">
        <f t="shared" si="5"/>
        <v>25.18</v>
      </c>
      <c r="T386" s="44"/>
      <c r="U386" s="44"/>
      <c r="V386" s="44"/>
      <c r="W386" s="44"/>
      <c r="X386" s="44"/>
      <c r="Y386" s="44"/>
      <c r="Z386" s="44"/>
      <c r="AA386" s="44"/>
      <c r="AB386" s="44"/>
      <c r="AC386" s="44"/>
      <c r="AD386" s="44"/>
      <c r="AE386" s="44"/>
      <c r="AF386" s="44"/>
      <c r="AG386" s="44"/>
      <c r="AH386" s="44"/>
      <c r="AI386" s="44"/>
      <c r="AJ386" s="44"/>
      <c r="AK386" s="44"/>
      <c r="AL386" s="44"/>
    </row>
    <row r="387" spans="1:38" ht="27.6" x14ac:dyDescent="0.25">
      <c r="A387" s="55"/>
      <c r="B387" s="265" t="s">
        <v>1258</v>
      </c>
      <c r="C387" s="266" t="s">
        <v>793</v>
      </c>
      <c r="D387" s="265" t="s">
        <v>40</v>
      </c>
      <c r="E387" s="265" t="s">
        <v>794</v>
      </c>
      <c r="F387" s="267" t="s">
        <v>44</v>
      </c>
      <c r="G387" s="277">
        <v>3</v>
      </c>
      <c r="H387" s="268">
        <v>28.97</v>
      </c>
      <c r="I387" s="287">
        <v>4.2</v>
      </c>
      <c r="J387" s="268">
        <v>5.33</v>
      </c>
      <c r="K387" s="292">
        <v>24.77</v>
      </c>
      <c r="L387" s="268">
        <v>31.43</v>
      </c>
      <c r="M387" s="268">
        <v>36.76</v>
      </c>
      <c r="N387" s="268">
        <v>15.99</v>
      </c>
      <c r="O387" s="268">
        <v>94.29</v>
      </c>
      <c r="P387" s="268">
        <v>110.28</v>
      </c>
      <c r="Q387" s="269">
        <v>0</v>
      </c>
      <c r="R387" s="44"/>
      <c r="S387" s="49">
        <f t="shared" si="5"/>
        <v>86.91</v>
      </c>
      <c r="T387" s="44"/>
      <c r="U387" s="44"/>
      <c r="V387" s="44"/>
      <c r="W387" s="44"/>
      <c r="X387" s="44"/>
      <c r="Y387" s="44"/>
      <c r="Z387" s="44"/>
      <c r="AA387" s="44"/>
      <c r="AB387" s="44"/>
      <c r="AC387" s="44"/>
      <c r="AD387" s="44"/>
      <c r="AE387" s="44"/>
      <c r="AF387" s="44"/>
      <c r="AG387" s="44"/>
      <c r="AH387" s="44"/>
      <c r="AI387" s="44"/>
      <c r="AJ387" s="44"/>
      <c r="AK387" s="44"/>
      <c r="AL387" s="44"/>
    </row>
    <row r="388" spans="1:38" ht="27.6" x14ac:dyDescent="0.25">
      <c r="A388" s="55"/>
      <c r="B388" s="265" t="s">
        <v>1260</v>
      </c>
      <c r="C388" s="266" t="s">
        <v>189</v>
      </c>
      <c r="D388" s="265" t="s">
        <v>40</v>
      </c>
      <c r="E388" s="265" t="s">
        <v>190</v>
      </c>
      <c r="F388" s="267" t="s">
        <v>44</v>
      </c>
      <c r="G388" s="277">
        <v>5</v>
      </c>
      <c r="H388" s="268">
        <v>18.670000000000002</v>
      </c>
      <c r="I388" s="287">
        <v>1.69</v>
      </c>
      <c r="J388" s="268">
        <v>2.14</v>
      </c>
      <c r="K388" s="292">
        <v>16.98</v>
      </c>
      <c r="L388" s="268">
        <v>21.54</v>
      </c>
      <c r="M388" s="268">
        <v>23.68</v>
      </c>
      <c r="N388" s="268">
        <v>10.7</v>
      </c>
      <c r="O388" s="268">
        <v>107.7</v>
      </c>
      <c r="P388" s="268">
        <v>118.4</v>
      </c>
      <c r="Q388" s="269">
        <v>0</v>
      </c>
      <c r="R388" s="44"/>
      <c r="S388" s="49">
        <f t="shared" si="5"/>
        <v>93.35</v>
      </c>
      <c r="T388" s="44"/>
      <c r="U388" s="44"/>
      <c r="V388" s="44"/>
      <c r="W388" s="44"/>
      <c r="X388" s="44"/>
      <c r="Y388" s="44"/>
      <c r="Z388" s="44"/>
      <c r="AA388" s="44"/>
      <c r="AB388" s="44"/>
      <c r="AC388" s="44"/>
      <c r="AD388" s="44"/>
      <c r="AE388" s="44"/>
      <c r="AF388" s="44"/>
      <c r="AG388" s="44"/>
      <c r="AH388" s="44"/>
      <c r="AI388" s="44"/>
      <c r="AJ388" s="44"/>
      <c r="AK388" s="44"/>
      <c r="AL388" s="44"/>
    </row>
    <row r="389" spans="1:38" ht="27.6" x14ac:dyDescent="0.25">
      <c r="A389" s="55"/>
      <c r="B389" s="265" t="s">
        <v>1266</v>
      </c>
      <c r="C389" s="266" t="s">
        <v>661</v>
      </c>
      <c r="D389" s="265" t="s">
        <v>199</v>
      </c>
      <c r="E389" s="265" t="s">
        <v>770</v>
      </c>
      <c r="F389" s="267" t="s">
        <v>240</v>
      </c>
      <c r="G389" s="277">
        <v>1.5</v>
      </c>
      <c r="H389" s="268">
        <v>40.130000000000003</v>
      </c>
      <c r="I389" s="287">
        <v>22.83</v>
      </c>
      <c r="J389" s="268">
        <v>28.96</v>
      </c>
      <c r="K389" s="292">
        <v>17.3</v>
      </c>
      <c r="L389" s="268">
        <v>21.95</v>
      </c>
      <c r="M389" s="268">
        <v>50.91</v>
      </c>
      <c r="N389" s="268">
        <v>43.44</v>
      </c>
      <c r="O389" s="268">
        <v>32.93</v>
      </c>
      <c r="P389" s="268">
        <v>76.37</v>
      </c>
      <c r="Q389" s="269">
        <v>0</v>
      </c>
      <c r="R389" s="44"/>
      <c r="S389" s="49">
        <f t="shared" si="5"/>
        <v>60.2</v>
      </c>
      <c r="T389" s="44"/>
      <c r="U389" s="44"/>
      <c r="V389" s="44"/>
      <c r="W389" s="44"/>
      <c r="X389" s="44"/>
      <c r="Y389" s="44"/>
      <c r="Z389" s="44"/>
      <c r="AA389" s="44"/>
      <c r="AB389" s="44"/>
      <c r="AC389" s="44"/>
      <c r="AD389" s="44"/>
      <c r="AE389" s="44"/>
      <c r="AF389" s="44"/>
      <c r="AG389" s="44"/>
      <c r="AH389" s="44"/>
      <c r="AI389" s="44"/>
      <c r="AJ389" s="44"/>
      <c r="AK389" s="44"/>
      <c r="AL389" s="44"/>
    </row>
    <row r="390" spans="1:38" x14ac:dyDescent="0.25">
      <c r="A390" s="55"/>
      <c r="B390" s="265" t="s">
        <v>1277</v>
      </c>
      <c r="C390" s="266" t="s">
        <v>1110</v>
      </c>
      <c r="D390" s="265" t="s">
        <v>51</v>
      </c>
      <c r="E390" s="265" t="s">
        <v>1111</v>
      </c>
      <c r="F390" s="267" t="s">
        <v>44</v>
      </c>
      <c r="G390" s="277">
        <v>8</v>
      </c>
      <c r="H390" s="268">
        <v>0</v>
      </c>
      <c r="I390" s="287"/>
      <c r="J390" s="268">
        <v>0</v>
      </c>
      <c r="K390" s="292"/>
      <c r="L390" s="268">
        <v>0</v>
      </c>
      <c r="M390" s="268">
        <v>0</v>
      </c>
      <c r="N390" s="268">
        <v>0</v>
      </c>
      <c r="O390" s="268">
        <v>0</v>
      </c>
      <c r="P390" s="268">
        <v>0</v>
      </c>
      <c r="Q390" s="269">
        <v>0</v>
      </c>
      <c r="R390" s="44"/>
      <c r="S390" s="49">
        <f t="shared" si="5"/>
        <v>0</v>
      </c>
      <c r="T390" s="44"/>
      <c r="U390" s="44"/>
      <c r="V390" s="44"/>
      <c r="W390" s="44"/>
      <c r="X390" s="44"/>
      <c r="Y390" s="44"/>
      <c r="Z390" s="44"/>
      <c r="AA390" s="44"/>
      <c r="AB390" s="44"/>
      <c r="AC390" s="44"/>
      <c r="AD390" s="44"/>
      <c r="AE390" s="44"/>
      <c r="AF390" s="44"/>
      <c r="AG390" s="44"/>
      <c r="AH390" s="44"/>
      <c r="AI390" s="44"/>
      <c r="AJ390" s="44"/>
      <c r="AK390" s="44"/>
      <c r="AL390" s="44"/>
    </row>
    <row r="391" spans="1:38" ht="27.6" x14ac:dyDescent="0.25">
      <c r="A391" s="55"/>
      <c r="B391" s="265" t="s">
        <v>1285</v>
      </c>
      <c r="C391" s="266" t="s">
        <v>1496</v>
      </c>
      <c r="D391" s="265" t="s">
        <v>40</v>
      </c>
      <c r="E391" s="265" t="s">
        <v>1497</v>
      </c>
      <c r="F391" s="267" t="s">
        <v>44</v>
      </c>
      <c r="G391" s="277">
        <v>2</v>
      </c>
      <c r="H391" s="268">
        <v>8.76</v>
      </c>
      <c r="I391" s="287">
        <v>5.0599999999999996</v>
      </c>
      <c r="J391" s="268">
        <v>6.42</v>
      </c>
      <c r="K391" s="292">
        <v>3.7</v>
      </c>
      <c r="L391" s="268">
        <v>4.6900000000000004</v>
      </c>
      <c r="M391" s="268">
        <v>11.11</v>
      </c>
      <c r="N391" s="268">
        <v>12.84</v>
      </c>
      <c r="O391" s="268">
        <v>9.3800000000000008</v>
      </c>
      <c r="P391" s="268">
        <v>22.22</v>
      </c>
      <c r="Q391" s="269">
        <v>0</v>
      </c>
      <c r="R391" s="44"/>
      <c r="S391" s="49">
        <f t="shared" si="5"/>
        <v>17.52</v>
      </c>
      <c r="T391" s="44"/>
      <c r="U391" s="44"/>
      <c r="V391" s="44"/>
      <c r="W391" s="44"/>
      <c r="X391" s="44"/>
      <c r="Y391" s="44"/>
      <c r="Z391" s="44"/>
      <c r="AA391" s="44"/>
      <c r="AB391" s="44"/>
      <c r="AC391" s="44"/>
      <c r="AD391" s="44"/>
      <c r="AE391" s="44"/>
      <c r="AF391" s="44"/>
      <c r="AG391" s="44"/>
      <c r="AH391" s="44"/>
      <c r="AI391" s="44"/>
      <c r="AJ391" s="44"/>
      <c r="AK391" s="44"/>
      <c r="AL391" s="44"/>
    </row>
    <row r="392" spans="1:38" ht="27.6" x14ac:dyDescent="0.25">
      <c r="A392" s="55"/>
      <c r="B392" s="265" t="s">
        <v>1286</v>
      </c>
      <c r="C392" s="266" t="s">
        <v>175</v>
      </c>
      <c r="D392" s="265" t="s">
        <v>40</v>
      </c>
      <c r="E392" s="265" t="s">
        <v>176</v>
      </c>
      <c r="F392" s="267" t="s">
        <v>44</v>
      </c>
      <c r="G392" s="277">
        <v>11</v>
      </c>
      <c r="H392" s="268">
        <v>7.35</v>
      </c>
      <c r="I392" s="287">
        <v>4.53</v>
      </c>
      <c r="J392" s="268">
        <v>5.75</v>
      </c>
      <c r="K392" s="292">
        <v>2.82</v>
      </c>
      <c r="L392" s="268">
        <v>3.58</v>
      </c>
      <c r="M392" s="268">
        <v>9.33</v>
      </c>
      <c r="N392" s="268">
        <v>63.25</v>
      </c>
      <c r="O392" s="268">
        <v>39.380000000000003</v>
      </c>
      <c r="P392" s="268">
        <v>102.63</v>
      </c>
      <c r="Q392" s="269">
        <v>0</v>
      </c>
      <c r="R392" s="44"/>
      <c r="S392" s="49">
        <f t="shared" si="5"/>
        <v>80.849999999999994</v>
      </c>
      <c r="T392" s="44"/>
      <c r="U392" s="44"/>
      <c r="V392" s="44"/>
      <c r="W392" s="44"/>
      <c r="X392" s="44"/>
      <c r="Y392" s="44"/>
      <c r="Z392" s="44"/>
      <c r="AA392" s="44"/>
      <c r="AB392" s="44"/>
      <c r="AC392" s="44"/>
      <c r="AD392" s="44"/>
      <c r="AE392" s="44"/>
      <c r="AF392" s="44"/>
      <c r="AG392" s="44"/>
      <c r="AH392" s="44"/>
      <c r="AI392" s="44"/>
      <c r="AJ392" s="44"/>
      <c r="AK392" s="44"/>
      <c r="AL392" s="44"/>
    </row>
    <row r="393" spans="1:38" ht="27.6" x14ac:dyDescent="0.25">
      <c r="A393" s="55"/>
      <c r="B393" s="265" t="s">
        <v>1288</v>
      </c>
      <c r="C393" s="266" t="s">
        <v>196</v>
      </c>
      <c r="D393" s="265" t="s">
        <v>40</v>
      </c>
      <c r="E393" s="265" t="s">
        <v>197</v>
      </c>
      <c r="F393" s="267" t="s">
        <v>44</v>
      </c>
      <c r="G393" s="277">
        <v>11</v>
      </c>
      <c r="H393" s="268">
        <v>8.69</v>
      </c>
      <c r="I393" s="287">
        <v>4.91</v>
      </c>
      <c r="J393" s="268">
        <v>6.23</v>
      </c>
      <c r="K393" s="292">
        <v>3.78</v>
      </c>
      <c r="L393" s="268">
        <v>4.8</v>
      </c>
      <c r="M393" s="268">
        <v>11.03</v>
      </c>
      <c r="N393" s="268">
        <v>68.53</v>
      </c>
      <c r="O393" s="268">
        <v>52.8</v>
      </c>
      <c r="P393" s="268">
        <v>121.33</v>
      </c>
      <c r="Q393" s="269">
        <v>0</v>
      </c>
      <c r="R393" s="44"/>
      <c r="S393" s="49">
        <f t="shared" si="5"/>
        <v>95.59</v>
      </c>
      <c r="T393" s="44"/>
      <c r="U393" s="44"/>
      <c r="V393" s="44"/>
      <c r="W393" s="44"/>
      <c r="X393" s="44"/>
      <c r="Y393" s="44"/>
      <c r="Z393" s="44"/>
      <c r="AA393" s="44"/>
      <c r="AB393" s="44"/>
      <c r="AC393" s="44"/>
      <c r="AD393" s="44"/>
      <c r="AE393" s="44"/>
      <c r="AF393" s="44"/>
      <c r="AG393" s="44"/>
      <c r="AH393" s="44"/>
      <c r="AI393" s="44"/>
      <c r="AJ393" s="44"/>
      <c r="AK393" s="44"/>
      <c r="AL393" s="44"/>
    </row>
    <row r="394" spans="1:38" ht="27.6" x14ac:dyDescent="0.25">
      <c r="A394" s="55"/>
      <c r="B394" s="265" t="s">
        <v>1289</v>
      </c>
      <c r="C394" s="266" t="s">
        <v>647</v>
      </c>
      <c r="D394" s="265" t="s">
        <v>40</v>
      </c>
      <c r="E394" s="265" t="s">
        <v>648</v>
      </c>
      <c r="F394" s="267" t="s">
        <v>44</v>
      </c>
      <c r="G394" s="277">
        <v>1</v>
      </c>
      <c r="H394" s="268">
        <v>14.87</v>
      </c>
      <c r="I394" s="287">
        <v>4.5599999999999996</v>
      </c>
      <c r="J394" s="268">
        <v>5.79</v>
      </c>
      <c r="K394" s="292">
        <v>10.31</v>
      </c>
      <c r="L394" s="268">
        <v>13.08</v>
      </c>
      <c r="M394" s="268">
        <v>18.87</v>
      </c>
      <c r="N394" s="268">
        <v>5.79</v>
      </c>
      <c r="O394" s="268">
        <v>13.08</v>
      </c>
      <c r="P394" s="268">
        <v>18.87</v>
      </c>
      <c r="Q394" s="269">
        <v>0</v>
      </c>
      <c r="R394" s="44"/>
      <c r="S394" s="49">
        <f t="shared" si="5"/>
        <v>14.87</v>
      </c>
      <c r="T394" s="44"/>
      <c r="U394" s="44"/>
      <c r="V394" s="44"/>
      <c r="W394" s="44"/>
      <c r="X394" s="44"/>
      <c r="Y394" s="44"/>
      <c r="Z394" s="44"/>
      <c r="AA394" s="44"/>
      <c r="AB394" s="44"/>
      <c r="AC394" s="44"/>
      <c r="AD394" s="44"/>
      <c r="AE394" s="44"/>
      <c r="AF394" s="44"/>
      <c r="AG394" s="44"/>
      <c r="AH394" s="44"/>
      <c r="AI394" s="44"/>
      <c r="AJ394" s="44"/>
      <c r="AK394" s="44"/>
      <c r="AL394" s="44"/>
    </row>
    <row r="395" spans="1:38" ht="13.8" customHeight="1" x14ac:dyDescent="0.25">
      <c r="A395" s="55"/>
      <c r="B395" s="265" t="s">
        <v>1294</v>
      </c>
      <c r="C395" s="266" t="s">
        <v>203</v>
      </c>
      <c r="D395" s="265" t="s">
        <v>146</v>
      </c>
      <c r="E395" s="265" t="s">
        <v>204</v>
      </c>
      <c r="F395" s="267" t="s">
        <v>168</v>
      </c>
      <c r="G395" s="277">
        <v>5</v>
      </c>
      <c r="H395" s="268">
        <v>17.91</v>
      </c>
      <c r="I395" s="287">
        <v>3.51</v>
      </c>
      <c r="J395" s="268">
        <v>4.45</v>
      </c>
      <c r="K395" s="292">
        <v>14.4</v>
      </c>
      <c r="L395" s="268">
        <v>18.27</v>
      </c>
      <c r="M395" s="268">
        <v>22.72</v>
      </c>
      <c r="N395" s="268">
        <v>22.25</v>
      </c>
      <c r="O395" s="268">
        <v>91.35</v>
      </c>
      <c r="P395" s="268">
        <v>113.6</v>
      </c>
      <c r="Q395" s="269">
        <v>0</v>
      </c>
      <c r="R395" s="44"/>
      <c r="S395" s="49">
        <f t="shared" si="5"/>
        <v>89.55</v>
      </c>
      <c r="T395" s="44"/>
      <c r="U395" s="44"/>
      <c r="V395" s="44"/>
      <c r="W395" s="44"/>
      <c r="X395" s="44"/>
      <c r="Y395" s="44"/>
      <c r="Z395" s="44"/>
      <c r="AA395" s="44"/>
      <c r="AB395" s="44"/>
      <c r="AC395" s="44"/>
      <c r="AD395" s="44"/>
      <c r="AE395" s="44"/>
      <c r="AF395" s="44"/>
      <c r="AG395" s="44"/>
      <c r="AH395" s="44"/>
      <c r="AI395" s="44"/>
      <c r="AJ395" s="44"/>
      <c r="AK395" s="44"/>
      <c r="AL395" s="44"/>
    </row>
    <row r="396" spans="1:38" x14ac:dyDescent="0.25">
      <c r="A396" s="55"/>
      <c r="B396" s="265" t="s">
        <v>1299</v>
      </c>
      <c r="C396" s="266" t="s">
        <v>198</v>
      </c>
      <c r="D396" s="265" t="s">
        <v>199</v>
      </c>
      <c r="E396" s="265" t="s">
        <v>772</v>
      </c>
      <c r="F396" s="267" t="s">
        <v>168</v>
      </c>
      <c r="G396" s="277">
        <v>2</v>
      </c>
      <c r="H396" s="268">
        <v>14.6</v>
      </c>
      <c r="I396" s="287">
        <v>5.97</v>
      </c>
      <c r="J396" s="268">
        <v>7.57</v>
      </c>
      <c r="K396" s="292">
        <v>8.6300000000000008</v>
      </c>
      <c r="L396" s="268">
        <v>10.95</v>
      </c>
      <c r="M396" s="268">
        <v>18.52</v>
      </c>
      <c r="N396" s="268">
        <v>15.14</v>
      </c>
      <c r="O396" s="268">
        <v>21.9</v>
      </c>
      <c r="P396" s="268">
        <v>37.04</v>
      </c>
      <c r="Q396" s="269">
        <v>0</v>
      </c>
      <c r="R396" s="44"/>
      <c r="S396" s="49">
        <f t="shared" si="5"/>
        <v>29.2</v>
      </c>
      <c r="T396" s="44"/>
      <c r="U396" s="44"/>
      <c r="V396" s="44"/>
      <c r="W396" s="44"/>
      <c r="X396" s="44"/>
      <c r="Y396" s="44"/>
      <c r="Z396" s="44"/>
      <c r="AA396" s="44"/>
      <c r="AB396" s="44"/>
      <c r="AC396" s="44"/>
      <c r="AD396" s="44"/>
      <c r="AE396" s="44"/>
      <c r="AF396" s="44"/>
      <c r="AG396" s="44"/>
      <c r="AH396" s="44"/>
      <c r="AI396" s="44"/>
      <c r="AJ396" s="44"/>
      <c r="AK396" s="44"/>
      <c r="AL396" s="44"/>
    </row>
    <row r="397" spans="1:38" ht="27.6" customHeight="1" x14ac:dyDescent="0.25">
      <c r="A397" s="55"/>
      <c r="B397" s="265" t="s">
        <v>1304</v>
      </c>
      <c r="C397" s="266" t="s">
        <v>861</v>
      </c>
      <c r="D397" s="265" t="s">
        <v>584</v>
      </c>
      <c r="E397" s="265" t="s">
        <v>1500</v>
      </c>
      <c r="F397" s="267" t="s">
        <v>585</v>
      </c>
      <c r="G397" s="277">
        <v>2</v>
      </c>
      <c r="H397" s="268">
        <v>26.9</v>
      </c>
      <c r="I397" s="287">
        <v>13.32</v>
      </c>
      <c r="J397" s="268">
        <v>16.899999999999999</v>
      </c>
      <c r="K397" s="292">
        <v>13.58</v>
      </c>
      <c r="L397" s="268">
        <v>17.23</v>
      </c>
      <c r="M397" s="268">
        <v>34.130000000000003</v>
      </c>
      <c r="N397" s="268">
        <v>33.799999999999997</v>
      </c>
      <c r="O397" s="268">
        <v>34.46</v>
      </c>
      <c r="P397" s="268">
        <v>68.260000000000005</v>
      </c>
      <c r="Q397" s="269">
        <v>0</v>
      </c>
      <c r="R397" s="44"/>
      <c r="S397" s="49">
        <f t="shared" si="5"/>
        <v>53.8</v>
      </c>
      <c r="T397" s="44"/>
      <c r="U397" s="44"/>
      <c r="V397" s="44"/>
      <c r="W397" s="44"/>
      <c r="X397" s="44"/>
      <c r="Y397" s="44"/>
      <c r="Z397" s="44"/>
      <c r="AA397" s="44"/>
      <c r="AB397" s="44"/>
      <c r="AC397" s="44"/>
      <c r="AD397" s="44"/>
      <c r="AE397" s="44"/>
      <c r="AF397" s="44"/>
      <c r="AG397" s="44"/>
      <c r="AH397" s="44"/>
      <c r="AI397" s="44"/>
      <c r="AJ397" s="44"/>
      <c r="AK397" s="44"/>
      <c r="AL397" s="44"/>
    </row>
    <row r="398" spans="1:38" ht="41.4" x14ac:dyDescent="0.25">
      <c r="A398" s="55"/>
      <c r="B398" s="265" t="s">
        <v>1501</v>
      </c>
      <c r="C398" s="266" t="s">
        <v>862</v>
      </c>
      <c r="D398" s="265" t="s">
        <v>551</v>
      </c>
      <c r="E398" s="265" t="s">
        <v>1120</v>
      </c>
      <c r="F398" s="267" t="s">
        <v>44</v>
      </c>
      <c r="G398" s="277">
        <v>1</v>
      </c>
      <c r="H398" s="268">
        <v>11.93</v>
      </c>
      <c r="I398" s="287">
        <v>5.75</v>
      </c>
      <c r="J398" s="268">
        <v>7.3</v>
      </c>
      <c r="K398" s="292">
        <v>6.18</v>
      </c>
      <c r="L398" s="268">
        <v>7.84</v>
      </c>
      <c r="M398" s="268">
        <v>15.14</v>
      </c>
      <c r="N398" s="268">
        <v>7.3</v>
      </c>
      <c r="O398" s="268">
        <v>7.84</v>
      </c>
      <c r="P398" s="268">
        <v>15.14</v>
      </c>
      <c r="Q398" s="269">
        <v>0</v>
      </c>
      <c r="R398" s="44"/>
      <c r="S398" s="49">
        <f t="shared" si="5"/>
        <v>11.93</v>
      </c>
      <c r="T398" s="44"/>
      <c r="U398" s="44"/>
      <c r="V398" s="44"/>
      <c r="W398" s="44"/>
      <c r="X398" s="44"/>
      <c r="Y398" s="44"/>
      <c r="Z398" s="44"/>
      <c r="AA398" s="44"/>
      <c r="AB398" s="44"/>
      <c r="AC398" s="44"/>
      <c r="AD398" s="44"/>
      <c r="AE398" s="44"/>
      <c r="AF398" s="44"/>
      <c r="AG398" s="44"/>
      <c r="AH398" s="44"/>
      <c r="AI398" s="44"/>
      <c r="AJ398" s="44"/>
      <c r="AK398" s="44"/>
      <c r="AL398" s="44"/>
    </row>
    <row r="399" spans="1:38" x14ac:dyDescent="0.25">
      <c r="A399" s="55"/>
      <c r="B399" s="265" t="s">
        <v>843</v>
      </c>
      <c r="C399" s="266" t="s">
        <v>1121</v>
      </c>
      <c r="D399" s="265" t="s">
        <v>146</v>
      </c>
      <c r="E399" s="265" t="s">
        <v>1122</v>
      </c>
      <c r="F399" s="267" t="s">
        <v>168</v>
      </c>
      <c r="G399" s="277">
        <v>1</v>
      </c>
      <c r="H399" s="268">
        <v>1.99</v>
      </c>
      <c r="I399" s="287">
        <v>0.41</v>
      </c>
      <c r="J399" s="268">
        <v>0.52</v>
      </c>
      <c r="K399" s="292">
        <v>1.58</v>
      </c>
      <c r="L399" s="268">
        <v>2</v>
      </c>
      <c r="M399" s="268">
        <v>2.52</v>
      </c>
      <c r="N399" s="268">
        <v>0.52</v>
      </c>
      <c r="O399" s="268">
        <v>2</v>
      </c>
      <c r="P399" s="268">
        <v>2.52</v>
      </c>
      <c r="Q399" s="269">
        <v>0</v>
      </c>
      <c r="R399" s="44"/>
      <c r="S399" s="49">
        <f t="shared" si="5"/>
        <v>1.99</v>
      </c>
      <c r="T399" s="44"/>
      <c r="U399" s="44"/>
      <c r="V399" s="44"/>
      <c r="W399" s="44"/>
      <c r="X399" s="44"/>
      <c r="Y399" s="44"/>
      <c r="Z399" s="44"/>
      <c r="AA399" s="44"/>
      <c r="AB399" s="44"/>
      <c r="AC399" s="44"/>
      <c r="AD399" s="44"/>
      <c r="AE399" s="44"/>
      <c r="AF399" s="44"/>
      <c r="AG399" s="44"/>
      <c r="AH399" s="44"/>
      <c r="AI399" s="44"/>
      <c r="AJ399" s="44"/>
      <c r="AK399" s="44"/>
      <c r="AL399" s="44"/>
    </row>
    <row r="400" spans="1:38" ht="27.6" x14ac:dyDescent="0.25">
      <c r="A400" s="55"/>
      <c r="B400" s="265" t="s">
        <v>1061</v>
      </c>
      <c r="C400" s="266" t="s">
        <v>675</v>
      </c>
      <c r="D400" s="265" t="s">
        <v>40</v>
      </c>
      <c r="E400" s="265" t="s">
        <v>676</v>
      </c>
      <c r="F400" s="267" t="s">
        <v>44</v>
      </c>
      <c r="G400" s="277">
        <v>6</v>
      </c>
      <c r="H400" s="268">
        <v>14.69</v>
      </c>
      <c r="I400" s="287">
        <v>10.039999999999999</v>
      </c>
      <c r="J400" s="268">
        <v>12.74</v>
      </c>
      <c r="K400" s="292">
        <v>4.6500000000000004</v>
      </c>
      <c r="L400" s="268">
        <v>5.9</v>
      </c>
      <c r="M400" s="268">
        <v>18.64</v>
      </c>
      <c r="N400" s="268">
        <v>76.44</v>
      </c>
      <c r="O400" s="268">
        <v>35.4</v>
      </c>
      <c r="P400" s="268">
        <v>111.84</v>
      </c>
      <c r="Q400" s="269">
        <v>0</v>
      </c>
      <c r="R400" s="44"/>
      <c r="S400" s="49">
        <f t="shared" si="5"/>
        <v>88.14</v>
      </c>
      <c r="T400" s="44"/>
      <c r="U400" s="44"/>
      <c r="V400" s="44"/>
      <c r="W400" s="44"/>
      <c r="X400" s="44"/>
      <c r="Y400" s="44"/>
      <c r="Z400" s="44"/>
      <c r="AA400" s="44"/>
      <c r="AB400" s="44"/>
      <c r="AC400" s="44"/>
      <c r="AD400" s="44"/>
      <c r="AE400" s="44"/>
      <c r="AF400" s="44"/>
      <c r="AG400" s="44"/>
      <c r="AH400" s="44"/>
      <c r="AI400" s="44"/>
      <c r="AJ400" s="44"/>
      <c r="AK400" s="44"/>
      <c r="AL400" s="44"/>
    </row>
    <row r="401" spans="1:38" ht="27.6" x14ac:dyDescent="0.25">
      <c r="A401" s="55"/>
      <c r="B401" s="265" t="s">
        <v>1062</v>
      </c>
      <c r="C401" s="266" t="s">
        <v>1123</v>
      </c>
      <c r="D401" s="265" t="s">
        <v>40</v>
      </c>
      <c r="E401" s="265" t="s">
        <v>1124</v>
      </c>
      <c r="F401" s="267" t="s">
        <v>44</v>
      </c>
      <c r="G401" s="277">
        <v>1</v>
      </c>
      <c r="H401" s="268">
        <v>22.94</v>
      </c>
      <c r="I401" s="287">
        <v>12.4</v>
      </c>
      <c r="J401" s="268">
        <v>15.73</v>
      </c>
      <c r="K401" s="292">
        <v>10.54</v>
      </c>
      <c r="L401" s="268">
        <v>13.37</v>
      </c>
      <c r="M401" s="268">
        <v>29.1</v>
      </c>
      <c r="N401" s="268">
        <v>15.73</v>
      </c>
      <c r="O401" s="268">
        <v>13.37</v>
      </c>
      <c r="P401" s="268">
        <v>29.1</v>
      </c>
      <c r="Q401" s="269">
        <v>0</v>
      </c>
      <c r="R401" s="44"/>
      <c r="S401" s="49">
        <f t="shared" si="5"/>
        <v>22.94</v>
      </c>
      <c r="T401" s="44"/>
      <c r="U401" s="44"/>
      <c r="V401" s="44"/>
      <c r="W401" s="44"/>
      <c r="X401" s="44"/>
      <c r="Y401" s="44"/>
      <c r="Z401" s="44"/>
      <c r="AA401" s="44"/>
      <c r="AB401" s="44"/>
      <c r="AC401" s="44"/>
      <c r="AD401" s="44"/>
      <c r="AE401" s="44"/>
      <c r="AF401" s="44"/>
      <c r="AG401" s="44"/>
      <c r="AH401" s="44"/>
      <c r="AI401" s="44"/>
      <c r="AJ401" s="44"/>
      <c r="AK401" s="44"/>
      <c r="AL401" s="44"/>
    </row>
    <row r="402" spans="1:38" ht="27.6" x14ac:dyDescent="0.25">
      <c r="A402" s="55"/>
      <c r="B402" s="265" t="s">
        <v>1083</v>
      </c>
      <c r="C402" s="266" t="s">
        <v>1512</v>
      </c>
      <c r="D402" s="265" t="s">
        <v>40</v>
      </c>
      <c r="E402" s="265" t="s">
        <v>1513</v>
      </c>
      <c r="F402" s="267" t="s">
        <v>44</v>
      </c>
      <c r="G402" s="277">
        <v>1</v>
      </c>
      <c r="H402" s="268">
        <v>65.11</v>
      </c>
      <c r="I402" s="287">
        <v>29.47</v>
      </c>
      <c r="J402" s="268">
        <v>37.39</v>
      </c>
      <c r="K402" s="292">
        <v>35.64</v>
      </c>
      <c r="L402" s="268">
        <v>45.22</v>
      </c>
      <c r="M402" s="268">
        <v>82.61</v>
      </c>
      <c r="N402" s="268">
        <v>37.39</v>
      </c>
      <c r="O402" s="268">
        <v>45.22</v>
      </c>
      <c r="P402" s="268">
        <v>82.61</v>
      </c>
      <c r="Q402" s="269">
        <v>0</v>
      </c>
      <c r="R402" s="44"/>
      <c r="S402" s="49">
        <f t="shared" si="5"/>
        <v>65.11</v>
      </c>
      <c r="T402" s="44"/>
      <c r="U402" s="44"/>
      <c r="V402" s="44"/>
      <c r="W402" s="44"/>
      <c r="X402" s="44"/>
      <c r="Y402" s="44"/>
      <c r="Z402" s="44"/>
      <c r="AA402" s="44"/>
      <c r="AB402" s="44"/>
      <c r="AC402" s="44"/>
      <c r="AD402" s="44"/>
      <c r="AE402" s="44"/>
      <c r="AF402" s="44"/>
      <c r="AG402" s="44"/>
      <c r="AH402" s="44"/>
      <c r="AI402" s="44"/>
      <c r="AJ402" s="44"/>
      <c r="AK402" s="44"/>
      <c r="AL402" s="44"/>
    </row>
    <row r="403" spans="1:38" ht="27.6" x14ac:dyDescent="0.25">
      <c r="A403" s="55"/>
      <c r="B403" s="265" t="s">
        <v>1084</v>
      </c>
      <c r="C403" s="266" t="s">
        <v>1514</v>
      </c>
      <c r="D403" s="265" t="s">
        <v>40</v>
      </c>
      <c r="E403" s="265" t="s">
        <v>1515</v>
      </c>
      <c r="F403" s="267" t="s">
        <v>44</v>
      </c>
      <c r="G403" s="277">
        <v>2</v>
      </c>
      <c r="H403" s="268">
        <v>44.91</v>
      </c>
      <c r="I403" s="287">
        <v>17.96</v>
      </c>
      <c r="J403" s="268">
        <v>22.79</v>
      </c>
      <c r="K403" s="292">
        <v>26.95</v>
      </c>
      <c r="L403" s="268">
        <v>34.19</v>
      </c>
      <c r="M403" s="268">
        <v>56.98</v>
      </c>
      <c r="N403" s="268">
        <v>45.58</v>
      </c>
      <c r="O403" s="268">
        <v>68.38</v>
      </c>
      <c r="P403" s="268">
        <v>113.96</v>
      </c>
      <c r="Q403" s="269">
        <v>0</v>
      </c>
      <c r="R403" s="44"/>
      <c r="S403" s="49">
        <f t="shared" si="5"/>
        <v>89.82</v>
      </c>
      <c r="T403" s="44"/>
      <c r="U403" s="44"/>
      <c r="V403" s="44"/>
      <c r="W403" s="44"/>
      <c r="X403" s="44"/>
      <c r="Y403" s="44"/>
      <c r="Z403" s="44"/>
      <c r="AA403" s="44"/>
      <c r="AB403" s="44"/>
      <c r="AC403" s="44"/>
      <c r="AD403" s="44"/>
      <c r="AE403" s="44"/>
      <c r="AF403" s="44"/>
      <c r="AG403" s="44"/>
      <c r="AH403" s="44"/>
      <c r="AI403" s="44"/>
      <c r="AJ403" s="44"/>
      <c r="AK403" s="44"/>
      <c r="AL403" s="44"/>
    </row>
    <row r="404" spans="1:38" ht="27.6" x14ac:dyDescent="0.25">
      <c r="A404" s="55"/>
      <c r="B404" s="265" t="s">
        <v>1087</v>
      </c>
      <c r="C404" s="266" t="s">
        <v>1516</v>
      </c>
      <c r="D404" s="265" t="s">
        <v>40</v>
      </c>
      <c r="E404" s="265" t="s">
        <v>1517</v>
      </c>
      <c r="F404" s="267" t="s">
        <v>44</v>
      </c>
      <c r="G404" s="277">
        <v>1</v>
      </c>
      <c r="H404" s="268">
        <v>70.78</v>
      </c>
      <c r="I404" s="287">
        <v>32.340000000000003</v>
      </c>
      <c r="J404" s="268">
        <v>41.03</v>
      </c>
      <c r="K404" s="292">
        <v>38.44</v>
      </c>
      <c r="L404" s="268">
        <v>48.77</v>
      </c>
      <c r="M404" s="268">
        <v>89.8</v>
      </c>
      <c r="N404" s="268">
        <v>41.03</v>
      </c>
      <c r="O404" s="268">
        <v>48.77</v>
      </c>
      <c r="P404" s="268">
        <v>89.8</v>
      </c>
      <c r="Q404" s="269">
        <v>0</v>
      </c>
      <c r="R404" s="44"/>
      <c r="S404" s="49">
        <f t="shared" si="5"/>
        <v>70.78</v>
      </c>
      <c r="T404" s="44"/>
      <c r="U404" s="44"/>
      <c r="V404" s="44"/>
      <c r="W404" s="44"/>
      <c r="X404" s="44"/>
      <c r="Y404" s="44"/>
      <c r="Z404" s="44"/>
      <c r="AA404" s="44"/>
      <c r="AB404" s="44"/>
      <c r="AC404" s="44"/>
      <c r="AD404" s="44"/>
      <c r="AE404" s="44"/>
      <c r="AF404" s="44"/>
      <c r="AG404" s="44"/>
      <c r="AH404" s="44"/>
      <c r="AI404" s="44"/>
      <c r="AJ404" s="44"/>
      <c r="AK404" s="44"/>
      <c r="AL404" s="44"/>
    </row>
    <row r="405" spans="1:38" ht="27.6" x14ac:dyDescent="0.25">
      <c r="A405" s="55"/>
      <c r="B405" s="265" t="s">
        <v>1096</v>
      </c>
      <c r="C405" s="266" t="s">
        <v>1522</v>
      </c>
      <c r="D405" s="265" t="s">
        <v>40</v>
      </c>
      <c r="E405" s="265" t="s">
        <v>1523</v>
      </c>
      <c r="F405" s="267" t="s">
        <v>44</v>
      </c>
      <c r="G405" s="277">
        <v>1</v>
      </c>
      <c r="H405" s="268">
        <v>48.7</v>
      </c>
      <c r="I405" s="287">
        <v>22.26</v>
      </c>
      <c r="J405" s="268">
        <v>28.24</v>
      </c>
      <c r="K405" s="292">
        <v>26.44</v>
      </c>
      <c r="L405" s="268">
        <v>33.54</v>
      </c>
      <c r="M405" s="268">
        <v>61.78</v>
      </c>
      <c r="N405" s="268">
        <v>28.24</v>
      </c>
      <c r="O405" s="268">
        <v>33.54</v>
      </c>
      <c r="P405" s="268">
        <v>61.78</v>
      </c>
      <c r="Q405" s="269">
        <v>0</v>
      </c>
      <c r="R405" s="44"/>
      <c r="S405" s="49">
        <f t="shared" ref="S405:S468" si="6">G405*H405</f>
        <v>48.7</v>
      </c>
      <c r="T405" s="44"/>
      <c r="U405" s="44"/>
      <c r="V405" s="44"/>
      <c r="W405" s="44"/>
      <c r="X405" s="44"/>
      <c r="Y405" s="44"/>
      <c r="Z405" s="44"/>
      <c r="AA405" s="44"/>
      <c r="AB405" s="44"/>
      <c r="AC405" s="44"/>
      <c r="AD405" s="44"/>
      <c r="AE405" s="44"/>
      <c r="AF405" s="44"/>
      <c r="AG405" s="44"/>
      <c r="AH405" s="44"/>
      <c r="AI405" s="44"/>
      <c r="AJ405" s="44"/>
      <c r="AK405" s="44"/>
      <c r="AL405" s="44"/>
    </row>
    <row r="406" spans="1:38" ht="27.6" x14ac:dyDescent="0.25">
      <c r="A406" s="55"/>
      <c r="B406" s="265" t="s">
        <v>1311</v>
      </c>
      <c r="C406" s="266" t="s">
        <v>222</v>
      </c>
      <c r="D406" s="265" t="s">
        <v>40</v>
      </c>
      <c r="E406" s="265" t="s">
        <v>223</v>
      </c>
      <c r="F406" s="267" t="s">
        <v>44</v>
      </c>
      <c r="G406" s="277">
        <v>1</v>
      </c>
      <c r="H406" s="268">
        <v>16.059999999999999</v>
      </c>
      <c r="I406" s="287">
        <v>2.2400000000000002</v>
      </c>
      <c r="J406" s="268">
        <v>2.84</v>
      </c>
      <c r="K406" s="292">
        <v>13.82</v>
      </c>
      <c r="L406" s="268">
        <v>17.53</v>
      </c>
      <c r="M406" s="268">
        <v>20.37</v>
      </c>
      <c r="N406" s="268">
        <v>2.84</v>
      </c>
      <c r="O406" s="268">
        <v>17.53</v>
      </c>
      <c r="P406" s="268">
        <v>20.37</v>
      </c>
      <c r="Q406" s="269">
        <v>0</v>
      </c>
      <c r="R406" s="44"/>
      <c r="S406" s="49">
        <f t="shared" si="6"/>
        <v>16.059999999999999</v>
      </c>
      <c r="T406" s="44"/>
      <c r="U406" s="44"/>
      <c r="V406" s="44"/>
      <c r="W406" s="44"/>
      <c r="X406" s="44"/>
      <c r="Y406" s="44"/>
      <c r="Z406" s="44"/>
      <c r="AA406" s="44"/>
      <c r="AB406" s="44"/>
      <c r="AC406" s="44"/>
      <c r="AD406" s="44"/>
      <c r="AE406" s="44"/>
      <c r="AF406" s="44"/>
      <c r="AG406" s="44"/>
      <c r="AH406" s="44"/>
      <c r="AI406" s="44"/>
      <c r="AJ406" s="44"/>
      <c r="AK406" s="44"/>
      <c r="AL406" s="44"/>
    </row>
    <row r="407" spans="1:38" x14ac:dyDescent="0.25">
      <c r="A407" s="55"/>
      <c r="B407" s="265" t="s">
        <v>1325</v>
      </c>
      <c r="C407" s="266" t="s">
        <v>1540</v>
      </c>
      <c r="D407" s="265" t="s">
        <v>51</v>
      </c>
      <c r="E407" s="265" t="s">
        <v>1541</v>
      </c>
      <c r="F407" s="267" t="s">
        <v>44</v>
      </c>
      <c r="G407" s="277">
        <v>8</v>
      </c>
      <c r="H407" s="268">
        <v>12.19</v>
      </c>
      <c r="I407" s="287">
        <v>4.5599999999999996</v>
      </c>
      <c r="J407" s="268">
        <v>5.79</v>
      </c>
      <c r="K407" s="292">
        <v>7.63</v>
      </c>
      <c r="L407" s="268">
        <v>9.68</v>
      </c>
      <c r="M407" s="268">
        <v>15.47</v>
      </c>
      <c r="N407" s="268">
        <v>46.32</v>
      </c>
      <c r="O407" s="268">
        <v>77.44</v>
      </c>
      <c r="P407" s="268">
        <v>123.76</v>
      </c>
      <c r="Q407" s="269">
        <v>0</v>
      </c>
      <c r="R407" s="44"/>
      <c r="S407" s="49">
        <f t="shared" si="6"/>
        <v>97.52</v>
      </c>
      <c r="T407" s="44"/>
      <c r="U407" s="44"/>
      <c r="V407" s="44"/>
      <c r="W407" s="44"/>
      <c r="X407" s="44"/>
      <c r="Y407" s="44"/>
      <c r="Z407" s="44"/>
      <c r="AA407" s="44"/>
      <c r="AB407" s="44"/>
      <c r="AC407" s="44"/>
      <c r="AD407" s="44"/>
      <c r="AE407" s="44"/>
      <c r="AF407" s="44"/>
      <c r="AG407" s="44"/>
      <c r="AH407" s="44"/>
      <c r="AI407" s="44"/>
      <c r="AJ407" s="44"/>
      <c r="AK407" s="44"/>
      <c r="AL407" s="44"/>
    </row>
    <row r="408" spans="1:38" x14ac:dyDescent="0.25">
      <c r="A408" s="55"/>
      <c r="B408" s="265" t="s">
        <v>1327</v>
      </c>
      <c r="C408" s="266" t="s">
        <v>1542</v>
      </c>
      <c r="D408" s="265" t="s">
        <v>146</v>
      </c>
      <c r="E408" s="265" t="s">
        <v>1543</v>
      </c>
      <c r="F408" s="267" t="s">
        <v>168</v>
      </c>
      <c r="G408" s="277">
        <v>2</v>
      </c>
      <c r="H408" s="268">
        <v>41.98</v>
      </c>
      <c r="I408" s="287">
        <v>8.09</v>
      </c>
      <c r="J408" s="268">
        <v>10.26</v>
      </c>
      <c r="K408" s="292">
        <v>33.89</v>
      </c>
      <c r="L408" s="268">
        <v>43</v>
      </c>
      <c r="M408" s="268">
        <v>53.26</v>
      </c>
      <c r="N408" s="268">
        <v>20.52</v>
      </c>
      <c r="O408" s="268">
        <v>86</v>
      </c>
      <c r="P408" s="268">
        <v>106.52</v>
      </c>
      <c r="Q408" s="269">
        <v>0</v>
      </c>
      <c r="R408" s="44"/>
      <c r="S408" s="49">
        <f t="shared" si="6"/>
        <v>83.96</v>
      </c>
      <c r="T408" s="44"/>
      <c r="U408" s="44"/>
      <c r="V408" s="44"/>
      <c r="W408" s="44"/>
      <c r="X408" s="44"/>
      <c r="Y408" s="44"/>
      <c r="Z408" s="44"/>
      <c r="AA408" s="44"/>
      <c r="AB408" s="44"/>
      <c r="AC408" s="44"/>
      <c r="AD408" s="44"/>
      <c r="AE408" s="44"/>
      <c r="AF408" s="44"/>
      <c r="AG408" s="44"/>
      <c r="AH408" s="44"/>
      <c r="AI408" s="44"/>
      <c r="AJ408" s="44"/>
      <c r="AK408" s="44"/>
      <c r="AL408" s="44"/>
    </row>
    <row r="409" spans="1:38" x14ac:dyDescent="0.25">
      <c r="A409" s="55"/>
      <c r="B409" s="265" t="s">
        <v>1328</v>
      </c>
      <c r="C409" s="266" t="s">
        <v>1127</v>
      </c>
      <c r="D409" s="265" t="s">
        <v>51</v>
      </c>
      <c r="E409" s="265" t="s">
        <v>1128</v>
      </c>
      <c r="F409" s="267" t="s">
        <v>55</v>
      </c>
      <c r="G409" s="277">
        <v>2.2999999999999998</v>
      </c>
      <c r="H409" s="268">
        <v>36.72</v>
      </c>
      <c r="I409" s="287">
        <v>15.17</v>
      </c>
      <c r="J409" s="268">
        <v>19.25</v>
      </c>
      <c r="K409" s="292">
        <v>21.55</v>
      </c>
      <c r="L409" s="268">
        <v>27.34</v>
      </c>
      <c r="M409" s="268">
        <v>46.59</v>
      </c>
      <c r="N409" s="268">
        <v>44.28</v>
      </c>
      <c r="O409" s="268">
        <v>62.88</v>
      </c>
      <c r="P409" s="268">
        <v>107.16</v>
      </c>
      <c r="Q409" s="269">
        <v>0</v>
      </c>
      <c r="R409" s="44"/>
      <c r="S409" s="49">
        <f t="shared" si="6"/>
        <v>84.46</v>
      </c>
      <c r="T409" s="44"/>
      <c r="U409" s="44"/>
      <c r="V409" s="44"/>
      <c r="W409" s="44"/>
      <c r="X409" s="44"/>
      <c r="Y409" s="44"/>
      <c r="Z409" s="44"/>
      <c r="AA409" s="44"/>
      <c r="AB409" s="44"/>
      <c r="AC409" s="44"/>
      <c r="AD409" s="44"/>
      <c r="AE409" s="44"/>
      <c r="AF409" s="44"/>
      <c r="AG409" s="44"/>
      <c r="AH409" s="44"/>
      <c r="AI409" s="44"/>
      <c r="AJ409" s="44"/>
      <c r="AK409" s="44"/>
      <c r="AL409" s="44"/>
    </row>
    <row r="410" spans="1:38" x14ac:dyDescent="0.25">
      <c r="A410" s="55"/>
      <c r="B410" s="265" t="s">
        <v>1331</v>
      </c>
      <c r="C410" s="266" t="s">
        <v>1129</v>
      </c>
      <c r="D410" s="265" t="s">
        <v>146</v>
      </c>
      <c r="E410" s="265" t="s">
        <v>1130</v>
      </c>
      <c r="F410" s="267" t="s">
        <v>168</v>
      </c>
      <c r="G410" s="277">
        <v>2</v>
      </c>
      <c r="H410" s="268">
        <v>14.36</v>
      </c>
      <c r="I410" s="287">
        <v>8.09</v>
      </c>
      <c r="J410" s="268">
        <v>10.26</v>
      </c>
      <c r="K410" s="292">
        <v>6.27</v>
      </c>
      <c r="L410" s="268">
        <v>7.95</v>
      </c>
      <c r="M410" s="268">
        <v>18.21</v>
      </c>
      <c r="N410" s="268">
        <v>20.52</v>
      </c>
      <c r="O410" s="268">
        <v>15.9</v>
      </c>
      <c r="P410" s="268">
        <v>36.42</v>
      </c>
      <c r="Q410" s="269">
        <v>0</v>
      </c>
      <c r="R410" s="44"/>
      <c r="S410" s="49">
        <f t="shared" si="6"/>
        <v>28.72</v>
      </c>
      <c r="T410" s="44"/>
      <c r="U410" s="44"/>
      <c r="V410" s="44"/>
      <c r="W410" s="44"/>
      <c r="X410" s="44"/>
      <c r="Y410" s="44"/>
      <c r="Z410" s="44"/>
      <c r="AA410" s="44"/>
      <c r="AB410" s="44"/>
      <c r="AC410" s="44"/>
      <c r="AD410" s="44"/>
      <c r="AE410" s="44"/>
      <c r="AF410" s="44"/>
      <c r="AG410" s="44"/>
      <c r="AH410" s="44"/>
      <c r="AI410" s="44"/>
      <c r="AJ410" s="44"/>
      <c r="AK410" s="44"/>
      <c r="AL410" s="44"/>
    </row>
    <row r="411" spans="1:38" x14ac:dyDescent="0.25">
      <c r="A411" s="55"/>
      <c r="B411" s="265" t="s">
        <v>1332</v>
      </c>
      <c r="C411" s="266" t="s">
        <v>1548</v>
      </c>
      <c r="D411" s="265" t="s">
        <v>551</v>
      </c>
      <c r="E411" s="265" t="s">
        <v>1549</v>
      </c>
      <c r="F411" s="267" t="s">
        <v>44</v>
      </c>
      <c r="G411" s="277">
        <v>1</v>
      </c>
      <c r="H411" s="268">
        <v>58.99</v>
      </c>
      <c r="I411" s="287">
        <v>24.77</v>
      </c>
      <c r="J411" s="268">
        <v>31.43</v>
      </c>
      <c r="K411" s="292">
        <v>34.22</v>
      </c>
      <c r="L411" s="268">
        <v>43.41</v>
      </c>
      <c r="M411" s="268">
        <v>74.84</v>
      </c>
      <c r="N411" s="268">
        <v>31.43</v>
      </c>
      <c r="O411" s="268">
        <v>43.41</v>
      </c>
      <c r="P411" s="268">
        <v>74.84</v>
      </c>
      <c r="Q411" s="269">
        <v>0</v>
      </c>
      <c r="R411" s="44"/>
      <c r="S411" s="49">
        <f t="shared" si="6"/>
        <v>58.99</v>
      </c>
      <c r="T411" s="44"/>
      <c r="U411" s="44"/>
      <c r="V411" s="44"/>
      <c r="W411" s="44"/>
      <c r="X411" s="44"/>
      <c r="Y411" s="44"/>
      <c r="Z411" s="44"/>
      <c r="AA411" s="44"/>
      <c r="AB411" s="44"/>
      <c r="AC411" s="44"/>
      <c r="AD411" s="44"/>
      <c r="AE411" s="44"/>
      <c r="AF411" s="44"/>
      <c r="AG411" s="44"/>
      <c r="AH411" s="44"/>
      <c r="AI411" s="44"/>
      <c r="AJ411" s="44"/>
      <c r="AK411" s="44"/>
      <c r="AL411" s="44"/>
    </row>
    <row r="412" spans="1:38" x14ac:dyDescent="0.25">
      <c r="A412" s="55"/>
      <c r="B412" s="265" t="s">
        <v>1552</v>
      </c>
      <c r="C412" s="266" t="s">
        <v>1553</v>
      </c>
      <c r="D412" s="265" t="s">
        <v>146</v>
      </c>
      <c r="E412" s="265" t="s">
        <v>1554</v>
      </c>
      <c r="F412" s="267" t="s">
        <v>168</v>
      </c>
      <c r="G412" s="277">
        <v>3</v>
      </c>
      <c r="H412" s="268">
        <v>23.28</v>
      </c>
      <c r="I412" s="287">
        <v>14.16</v>
      </c>
      <c r="J412" s="268">
        <v>17.96</v>
      </c>
      <c r="K412" s="292">
        <v>9.1199999999999992</v>
      </c>
      <c r="L412" s="268">
        <v>11.57</v>
      </c>
      <c r="M412" s="268">
        <v>29.53</v>
      </c>
      <c r="N412" s="268">
        <v>53.88</v>
      </c>
      <c r="O412" s="268">
        <v>34.71</v>
      </c>
      <c r="P412" s="268">
        <v>88.59</v>
      </c>
      <c r="Q412" s="269">
        <v>0</v>
      </c>
      <c r="R412" s="44"/>
      <c r="S412" s="49">
        <f t="shared" si="6"/>
        <v>69.84</v>
      </c>
      <c r="T412" s="44"/>
      <c r="U412" s="44"/>
      <c r="V412" s="44"/>
      <c r="W412" s="44"/>
      <c r="X412" s="44"/>
      <c r="Y412" s="44"/>
      <c r="Z412" s="44"/>
      <c r="AA412" s="44"/>
      <c r="AB412" s="44"/>
      <c r="AC412" s="44"/>
      <c r="AD412" s="44"/>
      <c r="AE412" s="44"/>
      <c r="AF412" s="44"/>
      <c r="AG412" s="44"/>
      <c r="AH412" s="44"/>
      <c r="AI412" s="44"/>
      <c r="AJ412" s="44"/>
      <c r="AK412" s="44"/>
      <c r="AL412" s="44"/>
    </row>
    <row r="413" spans="1:38" x14ac:dyDescent="0.25">
      <c r="A413" s="55"/>
      <c r="B413" s="265" t="s">
        <v>1563</v>
      </c>
      <c r="C413" s="266" t="s">
        <v>1131</v>
      </c>
      <c r="D413" s="265" t="s">
        <v>199</v>
      </c>
      <c r="E413" s="265" t="s">
        <v>1132</v>
      </c>
      <c r="F413" s="267" t="s">
        <v>240</v>
      </c>
      <c r="G413" s="277">
        <v>1</v>
      </c>
      <c r="H413" s="268">
        <v>71.67</v>
      </c>
      <c r="I413" s="287">
        <v>36.520000000000003</v>
      </c>
      <c r="J413" s="268">
        <v>46.33</v>
      </c>
      <c r="K413" s="292">
        <v>35.15</v>
      </c>
      <c r="L413" s="268">
        <v>44.59</v>
      </c>
      <c r="M413" s="268">
        <v>90.92</v>
      </c>
      <c r="N413" s="268">
        <v>46.33</v>
      </c>
      <c r="O413" s="268">
        <v>44.59</v>
      </c>
      <c r="P413" s="268">
        <v>90.92</v>
      </c>
      <c r="Q413" s="269">
        <v>0</v>
      </c>
      <c r="R413" s="44"/>
      <c r="S413" s="49">
        <f t="shared" si="6"/>
        <v>71.67</v>
      </c>
      <c r="T413" s="44"/>
      <c r="U413" s="44"/>
      <c r="V413" s="44"/>
      <c r="W413" s="44"/>
      <c r="X413" s="44"/>
      <c r="Y413" s="44"/>
      <c r="Z413" s="44"/>
      <c r="AA413" s="44"/>
      <c r="AB413" s="44"/>
      <c r="AC413" s="44"/>
      <c r="AD413" s="44"/>
      <c r="AE413" s="44"/>
      <c r="AF413" s="44"/>
      <c r="AG413" s="44"/>
      <c r="AH413" s="44"/>
      <c r="AI413" s="44"/>
      <c r="AJ413" s="44"/>
      <c r="AK413" s="44"/>
      <c r="AL413" s="44"/>
    </row>
    <row r="414" spans="1:38" x14ac:dyDescent="0.25">
      <c r="A414" s="55"/>
      <c r="B414" s="265" t="s">
        <v>1566</v>
      </c>
      <c r="C414" s="266" t="s">
        <v>1133</v>
      </c>
      <c r="D414" s="265" t="s">
        <v>40</v>
      </c>
      <c r="E414" s="265" t="s">
        <v>1134</v>
      </c>
      <c r="F414" s="267" t="s">
        <v>44</v>
      </c>
      <c r="G414" s="277">
        <v>2</v>
      </c>
      <c r="H414" s="268">
        <v>40.03</v>
      </c>
      <c r="I414" s="287">
        <v>7.65</v>
      </c>
      <c r="J414" s="268">
        <v>9.7100000000000009</v>
      </c>
      <c r="K414" s="292">
        <v>32.380000000000003</v>
      </c>
      <c r="L414" s="268">
        <v>41.08</v>
      </c>
      <c r="M414" s="268">
        <v>50.79</v>
      </c>
      <c r="N414" s="268">
        <v>19.420000000000002</v>
      </c>
      <c r="O414" s="268">
        <v>82.16</v>
      </c>
      <c r="P414" s="268">
        <v>101.58</v>
      </c>
      <c r="Q414" s="269">
        <v>0</v>
      </c>
      <c r="R414" s="44"/>
      <c r="S414" s="49">
        <f t="shared" si="6"/>
        <v>80.06</v>
      </c>
      <c r="T414" s="44"/>
      <c r="U414" s="44"/>
      <c r="V414" s="44"/>
      <c r="W414" s="44"/>
      <c r="X414" s="44"/>
      <c r="Y414" s="44"/>
      <c r="Z414" s="44"/>
      <c r="AA414" s="44"/>
      <c r="AB414" s="44"/>
      <c r="AC414" s="44"/>
      <c r="AD414" s="44"/>
      <c r="AE414" s="44"/>
      <c r="AF414" s="44"/>
      <c r="AG414" s="44"/>
      <c r="AH414" s="44"/>
      <c r="AI414" s="44"/>
      <c r="AJ414" s="44"/>
      <c r="AK414" s="44"/>
      <c r="AL414" s="44"/>
    </row>
    <row r="415" spans="1:38" x14ac:dyDescent="0.25">
      <c r="A415" s="55"/>
      <c r="B415" s="261" t="s">
        <v>755</v>
      </c>
      <c r="C415" s="261"/>
      <c r="D415" s="261"/>
      <c r="E415" s="261" t="s">
        <v>795</v>
      </c>
      <c r="F415" s="261"/>
      <c r="G415" s="276"/>
      <c r="H415" s="262"/>
      <c r="I415" s="286"/>
      <c r="J415" s="261"/>
      <c r="K415" s="291"/>
      <c r="L415" s="261"/>
      <c r="M415" s="261"/>
      <c r="N415" s="261"/>
      <c r="O415" s="261"/>
      <c r="P415" s="263"/>
      <c r="Q415" s="263"/>
      <c r="R415" s="44"/>
      <c r="S415" s="49">
        <f t="shared" si="6"/>
        <v>0</v>
      </c>
      <c r="T415" s="44"/>
      <c r="U415" s="44"/>
      <c r="V415" s="44"/>
      <c r="W415" s="44"/>
      <c r="X415" s="44"/>
      <c r="Y415" s="44"/>
      <c r="Z415" s="44"/>
      <c r="AA415" s="44"/>
      <c r="AB415" s="44"/>
      <c r="AC415" s="44"/>
      <c r="AD415" s="44"/>
      <c r="AE415" s="44"/>
      <c r="AF415" s="44"/>
      <c r="AG415" s="44"/>
      <c r="AH415" s="44"/>
      <c r="AI415" s="44"/>
      <c r="AJ415" s="44"/>
      <c r="AK415" s="44"/>
      <c r="AL415" s="44"/>
    </row>
    <row r="416" spans="1:38" x14ac:dyDescent="0.25">
      <c r="A416" s="55"/>
      <c r="B416" s="261" t="s">
        <v>42</v>
      </c>
      <c r="C416" s="261"/>
      <c r="D416" s="261"/>
      <c r="E416" s="261" t="s">
        <v>514</v>
      </c>
      <c r="F416" s="261"/>
      <c r="G416" s="276"/>
      <c r="H416" s="262"/>
      <c r="I416" s="286"/>
      <c r="J416" s="261"/>
      <c r="K416" s="291"/>
      <c r="L416" s="261"/>
      <c r="M416" s="261"/>
      <c r="N416" s="261"/>
      <c r="O416" s="261"/>
      <c r="P416" s="263"/>
      <c r="Q416" s="263"/>
      <c r="R416" s="44"/>
      <c r="S416" s="49">
        <f t="shared" si="6"/>
        <v>0</v>
      </c>
      <c r="T416" s="44"/>
      <c r="U416" s="44"/>
      <c r="V416" s="44"/>
      <c r="W416" s="44"/>
      <c r="X416" s="44"/>
      <c r="Y416" s="44"/>
      <c r="Z416" s="44"/>
      <c r="AA416" s="44"/>
      <c r="AB416" s="44"/>
      <c r="AC416" s="44"/>
      <c r="AD416" s="44"/>
      <c r="AE416" s="44"/>
      <c r="AF416" s="44"/>
      <c r="AG416" s="44"/>
      <c r="AH416" s="44"/>
      <c r="AI416" s="44"/>
      <c r="AJ416" s="44"/>
      <c r="AK416" s="44"/>
      <c r="AL416" s="44"/>
    </row>
    <row r="417" spans="1:38" x14ac:dyDescent="0.25">
      <c r="A417" s="55"/>
      <c r="B417" s="261" t="s">
        <v>786</v>
      </c>
      <c r="C417" s="261"/>
      <c r="D417" s="261"/>
      <c r="E417" s="261" t="s">
        <v>309</v>
      </c>
      <c r="F417" s="261"/>
      <c r="G417" s="276"/>
      <c r="H417" s="262"/>
      <c r="I417" s="286"/>
      <c r="J417" s="261"/>
      <c r="K417" s="291"/>
      <c r="L417" s="261"/>
      <c r="M417" s="261"/>
      <c r="N417" s="261"/>
      <c r="O417" s="261"/>
      <c r="P417" s="263"/>
      <c r="Q417" s="263"/>
      <c r="R417" s="44"/>
      <c r="S417" s="49">
        <f t="shared" si="6"/>
        <v>0</v>
      </c>
      <c r="T417" s="44"/>
      <c r="U417" s="44"/>
      <c r="V417" s="44"/>
      <c r="W417" s="44"/>
      <c r="X417" s="44"/>
      <c r="Y417" s="44"/>
      <c r="Z417" s="44"/>
      <c r="AA417" s="44"/>
      <c r="AB417" s="44"/>
      <c r="AC417" s="44"/>
      <c r="AD417" s="44"/>
      <c r="AE417" s="44"/>
      <c r="AF417" s="44"/>
      <c r="AG417" s="44"/>
      <c r="AH417" s="44"/>
      <c r="AI417" s="44"/>
      <c r="AJ417" s="44"/>
      <c r="AK417" s="44"/>
      <c r="AL417" s="44"/>
    </row>
    <row r="418" spans="1:38" x14ac:dyDescent="0.25">
      <c r="A418" s="55"/>
      <c r="B418" s="261">
        <v>2</v>
      </c>
      <c r="C418" s="261"/>
      <c r="D418" s="261"/>
      <c r="E418" s="261" t="s">
        <v>52</v>
      </c>
      <c r="F418" s="261"/>
      <c r="G418" s="276"/>
      <c r="H418" s="262"/>
      <c r="I418" s="286"/>
      <c r="J418" s="261"/>
      <c r="K418" s="291"/>
      <c r="L418" s="261"/>
      <c r="M418" s="261"/>
      <c r="N418" s="261"/>
      <c r="O418" s="261"/>
      <c r="P418" s="263"/>
      <c r="Q418" s="263"/>
      <c r="R418" s="44"/>
      <c r="S418" s="49">
        <f t="shared" si="6"/>
        <v>0</v>
      </c>
      <c r="T418" s="44"/>
      <c r="U418" s="44"/>
      <c r="V418" s="44"/>
      <c r="W418" s="44"/>
      <c r="X418" s="44"/>
      <c r="Y418" s="44"/>
      <c r="Z418" s="44"/>
      <c r="AA418" s="44"/>
      <c r="AB418" s="44"/>
      <c r="AC418" s="44"/>
      <c r="AD418" s="44"/>
      <c r="AE418" s="44"/>
      <c r="AF418" s="44"/>
      <c r="AG418" s="44"/>
      <c r="AH418" s="44"/>
      <c r="AI418" s="44"/>
      <c r="AJ418" s="44"/>
      <c r="AK418" s="44"/>
      <c r="AL418" s="44"/>
    </row>
    <row r="419" spans="1:38" x14ac:dyDescent="0.25">
      <c r="A419" s="55"/>
      <c r="B419" s="261">
        <v>3</v>
      </c>
      <c r="C419" s="261"/>
      <c r="D419" s="261"/>
      <c r="E419" s="261" t="s">
        <v>83</v>
      </c>
      <c r="F419" s="261"/>
      <c r="G419" s="276"/>
      <c r="H419" s="262"/>
      <c r="I419" s="286"/>
      <c r="J419" s="261"/>
      <c r="K419" s="291"/>
      <c r="L419" s="261"/>
      <c r="M419" s="261"/>
      <c r="N419" s="261"/>
      <c r="O419" s="261"/>
      <c r="P419" s="263"/>
      <c r="Q419" s="263"/>
      <c r="R419" s="44"/>
      <c r="S419" s="49">
        <f t="shared" si="6"/>
        <v>0</v>
      </c>
      <c r="T419" s="44"/>
      <c r="U419" s="44"/>
      <c r="V419" s="44"/>
      <c r="W419" s="44"/>
      <c r="X419" s="44"/>
      <c r="Y419" s="44"/>
      <c r="Z419" s="44"/>
      <c r="AA419" s="44"/>
      <c r="AB419" s="44"/>
      <c r="AC419" s="44"/>
      <c r="AD419" s="44"/>
      <c r="AE419" s="44"/>
      <c r="AF419" s="44"/>
      <c r="AG419" s="44"/>
      <c r="AH419" s="44"/>
      <c r="AI419" s="44"/>
      <c r="AJ419" s="44"/>
      <c r="AK419" s="44"/>
      <c r="AL419" s="44"/>
    </row>
    <row r="420" spans="1:38" x14ac:dyDescent="0.25">
      <c r="A420" s="55"/>
      <c r="B420" s="261" t="s">
        <v>84</v>
      </c>
      <c r="C420" s="261"/>
      <c r="D420" s="261"/>
      <c r="E420" s="261" t="s">
        <v>85</v>
      </c>
      <c r="F420" s="261"/>
      <c r="G420" s="276"/>
      <c r="H420" s="262"/>
      <c r="I420" s="286"/>
      <c r="J420" s="261"/>
      <c r="K420" s="291"/>
      <c r="L420" s="261"/>
      <c r="M420" s="261"/>
      <c r="N420" s="261"/>
      <c r="O420" s="261"/>
      <c r="P420" s="263"/>
      <c r="Q420" s="263"/>
      <c r="R420" s="44"/>
      <c r="S420" s="49">
        <f t="shared" si="6"/>
        <v>0</v>
      </c>
      <c r="T420" s="44"/>
      <c r="U420" s="44"/>
      <c r="V420" s="44"/>
      <c r="W420" s="44"/>
      <c r="X420" s="44"/>
      <c r="Y420" s="44"/>
      <c r="Z420" s="44"/>
      <c r="AA420" s="44"/>
      <c r="AB420" s="44"/>
      <c r="AC420" s="44"/>
      <c r="AD420" s="44"/>
      <c r="AE420" s="44"/>
      <c r="AF420" s="44"/>
      <c r="AG420" s="44"/>
      <c r="AH420" s="44"/>
      <c r="AI420" s="44"/>
      <c r="AJ420" s="44"/>
      <c r="AK420" s="44"/>
      <c r="AL420" s="44"/>
    </row>
    <row r="421" spans="1:38" x14ac:dyDescent="0.25">
      <c r="A421" s="55"/>
      <c r="B421" s="261" t="s">
        <v>102</v>
      </c>
      <c r="C421" s="261"/>
      <c r="D421" s="261"/>
      <c r="E421" s="261" t="s">
        <v>103</v>
      </c>
      <c r="F421" s="261"/>
      <c r="G421" s="276"/>
      <c r="H421" s="262"/>
      <c r="I421" s="286"/>
      <c r="J421" s="261"/>
      <c r="K421" s="291"/>
      <c r="L421" s="261"/>
      <c r="M421" s="261"/>
      <c r="N421" s="261"/>
      <c r="O421" s="261"/>
      <c r="P421" s="263"/>
      <c r="Q421" s="263"/>
      <c r="R421" s="44"/>
      <c r="S421" s="49">
        <f t="shared" si="6"/>
        <v>0</v>
      </c>
      <c r="T421" s="44"/>
      <c r="U421" s="44"/>
      <c r="V421" s="44"/>
      <c r="W421" s="44"/>
      <c r="X421" s="44"/>
      <c r="Y421" s="44"/>
      <c r="Z421" s="44"/>
      <c r="AA421" s="44"/>
      <c r="AB421" s="44"/>
      <c r="AC421" s="44"/>
      <c r="AD421" s="44"/>
      <c r="AE421" s="44"/>
      <c r="AF421" s="44"/>
      <c r="AG421" s="44"/>
      <c r="AH421" s="44"/>
      <c r="AI421" s="44"/>
      <c r="AJ421" s="44"/>
      <c r="AK421" s="44"/>
      <c r="AL421" s="44"/>
    </row>
    <row r="422" spans="1:38" x14ac:dyDescent="0.25">
      <c r="A422" s="55"/>
      <c r="B422" s="261" t="s">
        <v>117</v>
      </c>
      <c r="C422" s="261"/>
      <c r="D422" s="261"/>
      <c r="E422" s="261" t="s">
        <v>972</v>
      </c>
      <c r="F422" s="261"/>
      <c r="G422" s="276"/>
      <c r="H422" s="262"/>
      <c r="I422" s="286"/>
      <c r="J422" s="261"/>
      <c r="K422" s="291"/>
      <c r="L422" s="261"/>
      <c r="M422" s="261"/>
      <c r="N422" s="261"/>
      <c r="O422" s="261"/>
      <c r="P422" s="263"/>
      <c r="Q422" s="263"/>
      <c r="R422" s="44"/>
      <c r="S422" s="49">
        <f t="shared" si="6"/>
        <v>0</v>
      </c>
      <c r="T422" s="44"/>
      <c r="U422" s="44"/>
      <c r="V422" s="44"/>
      <c r="W422" s="44"/>
      <c r="X422" s="44"/>
      <c r="Y422" s="44"/>
      <c r="Z422" s="44"/>
      <c r="AA422" s="44"/>
      <c r="AB422" s="44"/>
      <c r="AC422" s="44"/>
      <c r="AD422" s="44"/>
      <c r="AE422" s="44"/>
      <c r="AF422" s="44"/>
      <c r="AG422" s="44"/>
      <c r="AH422" s="44"/>
      <c r="AI422" s="44"/>
      <c r="AJ422" s="44"/>
      <c r="AK422" s="44"/>
      <c r="AL422" s="44"/>
    </row>
    <row r="423" spans="1:38" x14ac:dyDescent="0.25">
      <c r="A423" s="55"/>
      <c r="B423" s="261" t="s">
        <v>1347</v>
      </c>
      <c r="C423" s="261"/>
      <c r="D423" s="261"/>
      <c r="E423" s="261" t="s">
        <v>1348</v>
      </c>
      <c r="F423" s="261"/>
      <c r="G423" s="276"/>
      <c r="H423" s="262"/>
      <c r="I423" s="286"/>
      <c r="J423" s="261"/>
      <c r="K423" s="291"/>
      <c r="L423" s="261"/>
      <c r="M423" s="261"/>
      <c r="N423" s="261"/>
      <c r="O423" s="261"/>
      <c r="P423" s="263"/>
      <c r="Q423" s="263"/>
      <c r="R423" s="44"/>
      <c r="S423" s="49">
        <f t="shared" si="6"/>
        <v>0</v>
      </c>
      <c r="T423" s="44"/>
      <c r="U423" s="44"/>
      <c r="V423" s="44"/>
      <c r="W423" s="44"/>
      <c r="X423" s="44"/>
      <c r="Y423" s="44"/>
      <c r="Z423" s="44"/>
      <c r="AA423" s="44"/>
      <c r="AB423" s="44"/>
      <c r="AC423" s="44"/>
      <c r="AD423" s="44"/>
      <c r="AE423" s="44"/>
      <c r="AF423" s="44"/>
      <c r="AG423" s="44"/>
      <c r="AH423" s="44"/>
      <c r="AI423" s="44"/>
      <c r="AJ423" s="44"/>
      <c r="AK423" s="44"/>
      <c r="AL423" s="44"/>
    </row>
    <row r="424" spans="1:38" x14ac:dyDescent="0.25">
      <c r="A424" s="55"/>
      <c r="B424" s="261">
        <v>4</v>
      </c>
      <c r="C424" s="261"/>
      <c r="D424" s="261"/>
      <c r="E424" s="261" t="s">
        <v>519</v>
      </c>
      <c r="F424" s="261"/>
      <c r="G424" s="276"/>
      <c r="H424" s="262"/>
      <c r="I424" s="286"/>
      <c r="J424" s="261"/>
      <c r="K424" s="291"/>
      <c r="L424" s="261"/>
      <c r="M424" s="261"/>
      <c r="N424" s="261"/>
      <c r="O424" s="261"/>
      <c r="P424" s="263"/>
      <c r="Q424" s="263"/>
      <c r="R424" s="44"/>
      <c r="S424" s="49">
        <f t="shared" si="6"/>
        <v>0</v>
      </c>
      <c r="T424" s="44"/>
      <c r="U424" s="44"/>
      <c r="V424" s="44"/>
      <c r="W424" s="44"/>
      <c r="X424" s="44"/>
      <c r="Y424" s="44"/>
      <c r="Z424" s="44"/>
      <c r="AA424" s="44"/>
      <c r="AB424" s="44"/>
      <c r="AC424" s="44"/>
      <c r="AD424" s="44"/>
      <c r="AE424" s="44"/>
      <c r="AF424" s="44"/>
      <c r="AG424" s="44"/>
      <c r="AH424" s="44"/>
      <c r="AI424" s="44"/>
      <c r="AJ424" s="44"/>
      <c r="AK424" s="44"/>
      <c r="AL424" s="44"/>
    </row>
    <row r="425" spans="1:38" x14ac:dyDescent="0.25">
      <c r="A425" s="55"/>
      <c r="B425" s="261" t="s">
        <v>134</v>
      </c>
      <c r="C425" s="261"/>
      <c r="D425" s="261"/>
      <c r="E425" s="261" t="s">
        <v>520</v>
      </c>
      <c r="F425" s="261"/>
      <c r="G425" s="276"/>
      <c r="H425" s="262"/>
      <c r="I425" s="286"/>
      <c r="J425" s="261"/>
      <c r="K425" s="291"/>
      <c r="L425" s="261"/>
      <c r="M425" s="261"/>
      <c r="N425" s="261"/>
      <c r="O425" s="261"/>
      <c r="P425" s="263"/>
      <c r="Q425" s="263"/>
      <c r="R425" s="44"/>
      <c r="S425" s="49">
        <f t="shared" si="6"/>
        <v>0</v>
      </c>
      <c r="T425" s="44"/>
      <c r="U425" s="44"/>
      <c r="V425" s="44"/>
      <c r="W425" s="44"/>
      <c r="X425" s="44"/>
      <c r="Y425" s="44"/>
      <c r="Z425" s="44"/>
      <c r="AA425" s="44"/>
      <c r="AB425" s="44"/>
      <c r="AC425" s="44"/>
      <c r="AD425" s="44"/>
      <c r="AE425" s="44"/>
      <c r="AF425" s="44"/>
      <c r="AG425" s="44"/>
      <c r="AH425" s="44"/>
      <c r="AI425" s="44"/>
      <c r="AJ425" s="44"/>
      <c r="AK425" s="44"/>
      <c r="AL425" s="44"/>
    </row>
    <row r="426" spans="1:38" x14ac:dyDescent="0.25">
      <c r="A426" s="55"/>
      <c r="B426" s="261" t="s">
        <v>135</v>
      </c>
      <c r="C426" s="261"/>
      <c r="D426" s="261"/>
      <c r="E426" s="261" t="s">
        <v>798</v>
      </c>
      <c r="F426" s="261"/>
      <c r="G426" s="276"/>
      <c r="H426" s="262"/>
      <c r="I426" s="286"/>
      <c r="J426" s="261"/>
      <c r="K426" s="291"/>
      <c r="L426" s="261"/>
      <c r="M426" s="261"/>
      <c r="N426" s="261"/>
      <c r="O426" s="261"/>
      <c r="P426" s="263"/>
      <c r="Q426" s="263"/>
      <c r="R426" s="44"/>
      <c r="S426" s="49">
        <f t="shared" si="6"/>
        <v>0</v>
      </c>
      <c r="T426" s="44"/>
      <c r="U426" s="44"/>
      <c r="V426" s="44"/>
      <c r="W426" s="44"/>
      <c r="X426" s="44"/>
      <c r="Y426" s="44"/>
      <c r="Z426" s="44"/>
      <c r="AA426" s="44"/>
      <c r="AB426" s="44"/>
      <c r="AC426" s="44"/>
      <c r="AD426" s="44"/>
      <c r="AE426" s="44"/>
      <c r="AF426" s="44"/>
      <c r="AG426" s="44"/>
      <c r="AH426" s="44"/>
      <c r="AI426" s="44"/>
      <c r="AJ426" s="44"/>
      <c r="AK426" s="44"/>
      <c r="AL426" s="44"/>
    </row>
    <row r="427" spans="1:38" x14ac:dyDescent="0.25">
      <c r="A427" s="55"/>
      <c r="B427" s="261" t="s">
        <v>136</v>
      </c>
      <c r="C427" s="261"/>
      <c r="D427" s="261"/>
      <c r="E427" s="261" t="s">
        <v>270</v>
      </c>
      <c r="F427" s="261"/>
      <c r="G427" s="276"/>
      <c r="H427" s="262"/>
      <c r="I427" s="286"/>
      <c r="J427" s="261"/>
      <c r="K427" s="291"/>
      <c r="L427" s="261"/>
      <c r="M427" s="261"/>
      <c r="N427" s="261"/>
      <c r="O427" s="261"/>
      <c r="P427" s="263"/>
      <c r="Q427" s="263"/>
      <c r="R427" s="44"/>
      <c r="S427" s="49">
        <f t="shared" si="6"/>
        <v>0</v>
      </c>
      <c r="T427" s="44"/>
      <c r="U427" s="44"/>
      <c r="V427" s="44"/>
      <c r="W427" s="44"/>
      <c r="X427" s="44"/>
      <c r="Y427" s="44"/>
      <c r="Z427" s="44"/>
      <c r="AA427" s="44"/>
      <c r="AB427" s="44"/>
      <c r="AC427" s="44"/>
      <c r="AD427" s="44"/>
      <c r="AE427" s="44"/>
      <c r="AF427" s="44"/>
      <c r="AG427" s="44"/>
      <c r="AH427" s="44"/>
      <c r="AI427" s="44"/>
      <c r="AJ427" s="44"/>
      <c r="AK427" s="44"/>
      <c r="AL427" s="44"/>
    </row>
    <row r="428" spans="1:38" x14ac:dyDescent="0.25">
      <c r="A428" s="55"/>
      <c r="B428" s="261">
        <v>5</v>
      </c>
      <c r="C428" s="261"/>
      <c r="D428" s="261"/>
      <c r="E428" s="261" t="s">
        <v>148</v>
      </c>
      <c r="F428" s="261"/>
      <c r="G428" s="276"/>
      <c r="H428" s="262"/>
      <c r="I428" s="286"/>
      <c r="J428" s="261"/>
      <c r="K428" s="291"/>
      <c r="L428" s="261"/>
      <c r="M428" s="261"/>
      <c r="N428" s="261"/>
      <c r="O428" s="261"/>
      <c r="P428" s="263"/>
      <c r="Q428" s="263"/>
      <c r="R428" s="44"/>
      <c r="S428" s="49">
        <f t="shared" si="6"/>
        <v>0</v>
      </c>
      <c r="T428" s="44"/>
      <c r="U428" s="44"/>
      <c r="V428" s="44"/>
      <c r="W428" s="44"/>
      <c r="X428" s="44"/>
      <c r="Y428" s="44"/>
      <c r="Z428" s="44"/>
      <c r="AA428" s="44"/>
      <c r="AB428" s="44"/>
      <c r="AC428" s="44"/>
      <c r="AD428" s="44"/>
      <c r="AE428" s="44"/>
      <c r="AF428" s="44"/>
      <c r="AG428" s="44"/>
      <c r="AH428" s="44"/>
      <c r="AI428" s="44"/>
      <c r="AJ428" s="44"/>
      <c r="AK428" s="44"/>
      <c r="AL428" s="44"/>
    </row>
    <row r="429" spans="1:38" x14ac:dyDescent="0.25">
      <c r="A429" s="55"/>
      <c r="B429" s="261" t="s">
        <v>140</v>
      </c>
      <c r="C429" s="261"/>
      <c r="D429" s="261"/>
      <c r="E429" s="261" t="s">
        <v>83</v>
      </c>
      <c r="F429" s="261"/>
      <c r="G429" s="276"/>
      <c r="H429" s="262"/>
      <c r="I429" s="286"/>
      <c r="J429" s="261"/>
      <c r="K429" s="291"/>
      <c r="L429" s="261"/>
      <c r="M429" s="261"/>
      <c r="N429" s="261"/>
      <c r="O429" s="261"/>
      <c r="P429" s="263"/>
      <c r="Q429" s="263"/>
      <c r="R429" s="44"/>
      <c r="S429" s="49">
        <f t="shared" si="6"/>
        <v>0</v>
      </c>
      <c r="T429" s="44"/>
      <c r="U429" s="44"/>
      <c r="V429" s="44"/>
      <c r="W429" s="44"/>
      <c r="X429" s="44"/>
      <c r="Y429" s="44"/>
      <c r="Z429" s="44"/>
      <c r="AA429" s="44"/>
      <c r="AB429" s="44"/>
      <c r="AC429" s="44"/>
      <c r="AD429" s="44"/>
      <c r="AE429" s="44"/>
      <c r="AF429" s="44"/>
      <c r="AG429" s="44"/>
      <c r="AH429" s="44"/>
      <c r="AI429" s="44"/>
      <c r="AJ429" s="44"/>
      <c r="AK429" s="44"/>
      <c r="AL429" s="44"/>
    </row>
    <row r="430" spans="1:38" x14ac:dyDescent="0.25">
      <c r="A430" s="55"/>
      <c r="B430" s="261" t="s">
        <v>143</v>
      </c>
      <c r="C430" s="261"/>
      <c r="D430" s="261"/>
      <c r="E430" s="261" t="s">
        <v>550</v>
      </c>
      <c r="F430" s="261"/>
      <c r="G430" s="276"/>
      <c r="H430" s="262"/>
      <c r="I430" s="286"/>
      <c r="J430" s="261"/>
      <c r="K430" s="291"/>
      <c r="L430" s="261"/>
      <c r="M430" s="261"/>
      <c r="N430" s="261"/>
      <c r="O430" s="261"/>
      <c r="P430" s="263"/>
      <c r="Q430" s="263"/>
      <c r="R430" s="44"/>
      <c r="S430" s="49">
        <f t="shared" si="6"/>
        <v>0</v>
      </c>
      <c r="T430" s="44"/>
      <c r="U430" s="44"/>
      <c r="V430" s="44"/>
      <c r="W430" s="44"/>
      <c r="X430" s="44"/>
      <c r="Y430" s="44"/>
      <c r="Z430" s="44"/>
      <c r="AA430" s="44"/>
      <c r="AB430" s="44"/>
      <c r="AC430" s="44"/>
      <c r="AD430" s="44"/>
      <c r="AE430" s="44"/>
      <c r="AF430" s="44"/>
      <c r="AG430" s="44"/>
      <c r="AH430" s="44"/>
      <c r="AI430" s="44"/>
      <c r="AJ430" s="44"/>
      <c r="AK430" s="44"/>
      <c r="AL430" s="44"/>
    </row>
    <row r="431" spans="1:38" x14ac:dyDescent="0.25">
      <c r="A431" s="55"/>
      <c r="B431" s="261" t="s">
        <v>144</v>
      </c>
      <c r="C431" s="261"/>
      <c r="D431" s="261"/>
      <c r="E431" s="261" t="s">
        <v>552</v>
      </c>
      <c r="F431" s="261"/>
      <c r="G431" s="276"/>
      <c r="H431" s="262"/>
      <c r="I431" s="286"/>
      <c r="J431" s="261"/>
      <c r="K431" s="291"/>
      <c r="L431" s="261"/>
      <c r="M431" s="261"/>
      <c r="N431" s="261"/>
      <c r="O431" s="261"/>
      <c r="P431" s="263"/>
      <c r="Q431" s="263"/>
      <c r="R431" s="44"/>
      <c r="S431" s="49">
        <f t="shared" si="6"/>
        <v>0</v>
      </c>
      <c r="T431" s="44"/>
      <c r="U431" s="44"/>
      <c r="V431" s="44"/>
      <c r="W431" s="44"/>
      <c r="X431" s="44"/>
      <c r="Y431" s="44"/>
      <c r="Z431" s="44"/>
      <c r="AA431" s="44"/>
      <c r="AB431" s="44"/>
      <c r="AC431" s="44"/>
      <c r="AD431" s="44"/>
      <c r="AE431" s="44"/>
      <c r="AF431" s="44"/>
      <c r="AG431" s="44"/>
      <c r="AH431" s="44"/>
      <c r="AI431" s="44"/>
      <c r="AJ431" s="44"/>
      <c r="AK431" s="44"/>
      <c r="AL431" s="44"/>
    </row>
    <row r="432" spans="1:38" x14ac:dyDescent="0.25">
      <c r="A432" s="55"/>
      <c r="B432" s="261">
        <v>6</v>
      </c>
      <c r="C432" s="261"/>
      <c r="D432" s="261"/>
      <c r="E432" s="261" t="s">
        <v>553</v>
      </c>
      <c r="F432" s="261"/>
      <c r="G432" s="276"/>
      <c r="H432" s="262"/>
      <c r="I432" s="286"/>
      <c r="J432" s="261"/>
      <c r="K432" s="291"/>
      <c r="L432" s="261"/>
      <c r="M432" s="261"/>
      <c r="N432" s="261"/>
      <c r="O432" s="261"/>
      <c r="P432" s="263"/>
      <c r="Q432" s="263"/>
      <c r="R432" s="44"/>
      <c r="S432" s="49">
        <f t="shared" si="6"/>
        <v>0</v>
      </c>
      <c r="T432" s="44"/>
      <c r="U432" s="44"/>
      <c r="V432" s="44"/>
      <c r="W432" s="44"/>
      <c r="X432" s="44"/>
      <c r="Y432" s="44"/>
      <c r="Z432" s="44"/>
      <c r="AA432" s="44"/>
      <c r="AB432" s="44"/>
      <c r="AC432" s="44"/>
      <c r="AD432" s="44"/>
      <c r="AE432" s="44"/>
      <c r="AF432" s="44"/>
      <c r="AG432" s="44"/>
      <c r="AH432" s="44"/>
      <c r="AI432" s="44"/>
      <c r="AJ432" s="44"/>
      <c r="AK432" s="44"/>
      <c r="AL432" s="44"/>
    </row>
    <row r="433" spans="1:38" x14ac:dyDescent="0.25">
      <c r="A433" s="55"/>
      <c r="B433" s="261">
        <v>7</v>
      </c>
      <c r="C433" s="261"/>
      <c r="D433" s="261"/>
      <c r="E433" s="261" t="s">
        <v>245</v>
      </c>
      <c r="F433" s="261"/>
      <c r="G433" s="276"/>
      <c r="H433" s="262"/>
      <c r="I433" s="286"/>
      <c r="J433" s="261"/>
      <c r="K433" s="291"/>
      <c r="L433" s="261"/>
      <c r="M433" s="261"/>
      <c r="N433" s="261"/>
      <c r="O433" s="261"/>
      <c r="P433" s="263"/>
      <c r="Q433" s="263"/>
      <c r="R433" s="44"/>
      <c r="S433" s="49">
        <f t="shared" si="6"/>
        <v>0</v>
      </c>
      <c r="T433" s="44"/>
      <c r="U433" s="44"/>
      <c r="V433" s="44"/>
      <c r="W433" s="44"/>
      <c r="X433" s="44"/>
      <c r="Y433" s="44"/>
      <c r="Z433" s="44"/>
      <c r="AA433" s="44"/>
      <c r="AB433" s="44"/>
      <c r="AC433" s="44"/>
      <c r="AD433" s="44"/>
      <c r="AE433" s="44"/>
      <c r="AF433" s="44"/>
      <c r="AG433" s="44"/>
      <c r="AH433" s="44"/>
      <c r="AI433" s="44"/>
      <c r="AJ433" s="44"/>
      <c r="AK433" s="44"/>
      <c r="AL433" s="44"/>
    </row>
    <row r="434" spans="1:38" x14ac:dyDescent="0.25">
      <c r="A434" s="55"/>
      <c r="B434" s="261" t="s">
        <v>158</v>
      </c>
      <c r="C434" s="261"/>
      <c r="D434" s="261"/>
      <c r="E434" s="261" t="s">
        <v>387</v>
      </c>
      <c r="F434" s="261"/>
      <c r="G434" s="276"/>
      <c r="H434" s="262"/>
      <c r="I434" s="286"/>
      <c r="J434" s="261"/>
      <c r="K434" s="291"/>
      <c r="L434" s="261"/>
      <c r="M434" s="261"/>
      <c r="N434" s="261"/>
      <c r="O434" s="261"/>
      <c r="P434" s="263"/>
      <c r="Q434" s="263"/>
      <c r="R434" s="44"/>
      <c r="S434" s="49">
        <f t="shared" si="6"/>
        <v>0</v>
      </c>
      <c r="T434" s="44"/>
      <c r="U434" s="44"/>
      <c r="V434" s="44"/>
      <c r="W434" s="44"/>
      <c r="X434" s="44"/>
      <c r="Y434" s="44"/>
      <c r="Z434" s="44"/>
      <c r="AA434" s="44"/>
      <c r="AB434" s="44"/>
      <c r="AC434" s="44"/>
      <c r="AD434" s="44"/>
      <c r="AE434" s="44"/>
      <c r="AF434" s="44"/>
      <c r="AG434" s="44"/>
      <c r="AH434" s="44"/>
      <c r="AI434" s="44"/>
      <c r="AJ434" s="44"/>
      <c r="AK434" s="44"/>
      <c r="AL434" s="44"/>
    </row>
    <row r="435" spans="1:38" x14ac:dyDescent="0.25">
      <c r="A435" s="55"/>
      <c r="B435" s="261" t="s">
        <v>802</v>
      </c>
      <c r="C435" s="261"/>
      <c r="D435" s="261"/>
      <c r="E435" s="261" t="s">
        <v>534</v>
      </c>
      <c r="F435" s="261"/>
      <c r="G435" s="276"/>
      <c r="H435" s="262"/>
      <c r="I435" s="286"/>
      <c r="J435" s="261"/>
      <c r="K435" s="291"/>
      <c r="L435" s="261"/>
      <c r="M435" s="261"/>
      <c r="N435" s="261"/>
      <c r="O435" s="261"/>
      <c r="P435" s="263"/>
      <c r="Q435" s="263"/>
      <c r="R435" s="44"/>
      <c r="S435" s="49">
        <f t="shared" si="6"/>
        <v>0</v>
      </c>
      <c r="T435" s="44"/>
      <c r="U435" s="44"/>
      <c r="V435" s="44"/>
      <c r="W435" s="44"/>
      <c r="X435" s="44"/>
      <c r="Y435" s="44"/>
      <c r="Z435" s="44"/>
      <c r="AA435" s="44"/>
      <c r="AB435" s="44"/>
      <c r="AC435" s="44"/>
      <c r="AD435" s="44"/>
      <c r="AE435" s="44"/>
      <c r="AF435" s="44"/>
      <c r="AG435" s="44"/>
      <c r="AH435" s="44"/>
      <c r="AI435" s="44"/>
      <c r="AJ435" s="44"/>
      <c r="AK435" s="44"/>
      <c r="AL435" s="44"/>
    </row>
    <row r="436" spans="1:38" x14ac:dyDescent="0.25">
      <c r="A436" s="55"/>
      <c r="B436" s="261" t="s">
        <v>179</v>
      </c>
      <c r="C436" s="261"/>
      <c r="D436" s="261"/>
      <c r="E436" s="261" t="s">
        <v>535</v>
      </c>
      <c r="F436" s="261"/>
      <c r="G436" s="276"/>
      <c r="H436" s="262"/>
      <c r="I436" s="286"/>
      <c r="J436" s="261"/>
      <c r="K436" s="291"/>
      <c r="L436" s="261"/>
      <c r="M436" s="261"/>
      <c r="N436" s="261"/>
      <c r="O436" s="261"/>
      <c r="P436" s="263"/>
      <c r="Q436" s="263"/>
      <c r="R436" s="44"/>
      <c r="S436" s="49">
        <f t="shared" si="6"/>
        <v>0</v>
      </c>
      <c r="T436" s="44"/>
      <c r="U436" s="44"/>
      <c r="V436" s="44"/>
      <c r="W436" s="44"/>
      <c r="X436" s="44"/>
      <c r="Y436" s="44"/>
      <c r="Z436" s="44"/>
      <c r="AA436" s="44"/>
      <c r="AB436" s="44"/>
      <c r="AC436" s="44"/>
      <c r="AD436" s="44"/>
      <c r="AE436" s="44"/>
      <c r="AF436" s="44"/>
      <c r="AG436" s="44"/>
      <c r="AH436" s="44"/>
      <c r="AI436" s="44"/>
      <c r="AJ436" s="44"/>
      <c r="AK436" s="44"/>
      <c r="AL436" s="44"/>
    </row>
    <row r="437" spans="1:38" x14ac:dyDescent="0.25">
      <c r="A437" s="55"/>
      <c r="B437" s="261" t="s">
        <v>807</v>
      </c>
      <c r="C437" s="261"/>
      <c r="D437" s="261"/>
      <c r="E437" s="261" t="s">
        <v>537</v>
      </c>
      <c r="F437" s="261"/>
      <c r="G437" s="276"/>
      <c r="H437" s="262"/>
      <c r="I437" s="286"/>
      <c r="J437" s="261"/>
      <c r="K437" s="291"/>
      <c r="L437" s="261"/>
      <c r="M437" s="261"/>
      <c r="N437" s="261"/>
      <c r="O437" s="261"/>
      <c r="P437" s="263"/>
      <c r="Q437" s="263"/>
      <c r="R437" s="44"/>
      <c r="S437" s="49">
        <f t="shared" si="6"/>
        <v>0</v>
      </c>
      <c r="T437" s="44"/>
      <c r="U437" s="44"/>
      <c r="V437" s="44"/>
      <c r="W437" s="44"/>
      <c r="X437" s="44"/>
      <c r="Y437" s="44"/>
      <c r="Z437" s="44"/>
      <c r="AA437" s="44"/>
      <c r="AB437" s="44"/>
      <c r="AC437" s="44"/>
      <c r="AD437" s="44"/>
      <c r="AE437" s="44"/>
      <c r="AF437" s="44"/>
      <c r="AG437" s="44"/>
      <c r="AH437" s="44"/>
      <c r="AI437" s="44"/>
      <c r="AJ437" s="44"/>
      <c r="AK437" s="44"/>
      <c r="AL437" s="44"/>
    </row>
    <row r="438" spans="1:38" x14ac:dyDescent="0.25">
      <c r="A438" s="55"/>
      <c r="B438" s="261" t="s">
        <v>812</v>
      </c>
      <c r="C438" s="261"/>
      <c r="D438" s="261"/>
      <c r="E438" s="261" t="s">
        <v>539</v>
      </c>
      <c r="F438" s="261"/>
      <c r="G438" s="276"/>
      <c r="H438" s="262"/>
      <c r="I438" s="286"/>
      <c r="J438" s="261"/>
      <c r="K438" s="291"/>
      <c r="L438" s="261"/>
      <c r="M438" s="261"/>
      <c r="N438" s="261"/>
      <c r="O438" s="261"/>
      <c r="P438" s="263"/>
      <c r="Q438" s="263"/>
      <c r="R438" s="44"/>
      <c r="S438" s="49">
        <f t="shared" si="6"/>
        <v>0</v>
      </c>
      <c r="T438" s="44"/>
      <c r="U438" s="44"/>
      <c r="V438" s="44"/>
      <c r="W438" s="44"/>
      <c r="X438" s="44"/>
      <c r="Y438" s="44"/>
      <c r="Z438" s="44"/>
      <c r="AA438" s="44"/>
      <c r="AB438" s="44"/>
      <c r="AC438" s="44"/>
      <c r="AD438" s="44"/>
      <c r="AE438" s="44"/>
      <c r="AF438" s="44"/>
      <c r="AG438" s="44"/>
      <c r="AH438" s="44"/>
      <c r="AI438" s="44"/>
      <c r="AJ438" s="44"/>
      <c r="AK438" s="44"/>
      <c r="AL438" s="44"/>
    </row>
    <row r="439" spans="1:38" x14ac:dyDescent="0.25">
      <c r="A439" s="55"/>
      <c r="B439" s="261" t="s">
        <v>195</v>
      </c>
      <c r="C439" s="261"/>
      <c r="D439" s="261"/>
      <c r="E439" s="261" t="s">
        <v>541</v>
      </c>
      <c r="F439" s="261"/>
      <c r="G439" s="276"/>
      <c r="H439" s="262"/>
      <c r="I439" s="286"/>
      <c r="J439" s="261"/>
      <c r="K439" s="291"/>
      <c r="L439" s="261"/>
      <c r="M439" s="261"/>
      <c r="N439" s="261"/>
      <c r="O439" s="261"/>
      <c r="P439" s="263"/>
      <c r="Q439" s="263"/>
      <c r="R439" s="44"/>
      <c r="S439" s="49">
        <f t="shared" si="6"/>
        <v>0</v>
      </c>
      <c r="T439" s="44"/>
      <c r="U439" s="44"/>
      <c r="V439" s="44"/>
      <c r="W439" s="44"/>
      <c r="X439" s="44"/>
      <c r="Y439" s="44"/>
      <c r="Z439" s="44"/>
      <c r="AA439" s="44"/>
      <c r="AB439" s="44"/>
      <c r="AC439" s="44"/>
      <c r="AD439" s="44"/>
      <c r="AE439" s="44"/>
      <c r="AF439" s="44"/>
      <c r="AG439" s="44"/>
      <c r="AH439" s="44"/>
      <c r="AI439" s="44"/>
      <c r="AJ439" s="44"/>
      <c r="AK439" s="44"/>
      <c r="AL439" s="44"/>
    </row>
    <row r="440" spans="1:38" x14ac:dyDescent="0.25">
      <c r="A440" s="55"/>
      <c r="B440" s="261" t="s">
        <v>816</v>
      </c>
      <c r="C440" s="261"/>
      <c r="D440" s="261"/>
      <c r="E440" s="261" t="s">
        <v>542</v>
      </c>
      <c r="F440" s="261"/>
      <c r="G440" s="276"/>
      <c r="H440" s="262"/>
      <c r="I440" s="286"/>
      <c r="J440" s="261"/>
      <c r="K440" s="291"/>
      <c r="L440" s="261"/>
      <c r="M440" s="261"/>
      <c r="N440" s="261"/>
      <c r="O440" s="261"/>
      <c r="P440" s="263"/>
      <c r="Q440" s="263"/>
      <c r="R440" s="44"/>
      <c r="S440" s="49">
        <f t="shared" si="6"/>
        <v>0</v>
      </c>
      <c r="T440" s="44"/>
      <c r="U440" s="44"/>
      <c r="V440" s="44"/>
      <c r="W440" s="44"/>
      <c r="X440" s="44"/>
      <c r="Y440" s="44"/>
      <c r="Z440" s="44"/>
      <c r="AA440" s="44"/>
      <c r="AB440" s="44"/>
      <c r="AC440" s="44"/>
      <c r="AD440" s="44"/>
      <c r="AE440" s="44"/>
      <c r="AF440" s="44"/>
      <c r="AG440" s="44"/>
      <c r="AH440" s="44"/>
      <c r="AI440" s="44"/>
      <c r="AJ440" s="44"/>
      <c r="AK440" s="44"/>
      <c r="AL440" s="44"/>
    </row>
    <row r="441" spans="1:38" x14ac:dyDescent="0.25">
      <c r="A441" s="55"/>
      <c r="B441" s="261" t="s">
        <v>818</v>
      </c>
      <c r="C441" s="261"/>
      <c r="D441" s="261"/>
      <c r="E441" s="261" t="s">
        <v>544</v>
      </c>
      <c r="F441" s="261"/>
      <c r="G441" s="276"/>
      <c r="H441" s="262"/>
      <c r="I441" s="286"/>
      <c r="J441" s="261"/>
      <c r="K441" s="291"/>
      <c r="L441" s="261"/>
      <c r="M441" s="261"/>
      <c r="N441" s="261"/>
      <c r="O441" s="261"/>
      <c r="P441" s="263"/>
      <c r="Q441" s="263"/>
      <c r="R441" s="44"/>
      <c r="S441" s="49">
        <f t="shared" si="6"/>
        <v>0</v>
      </c>
      <c r="T441" s="44"/>
      <c r="U441" s="44"/>
      <c r="V441" s="44"/>
      <c r="W441" s="44"/>
      <c r="X441" s="44"/>
      <c r="Y441" s="44"/>
      <c r="Z441" s="44"/>
      <c r="AA441" s="44"/>
      <c r="AB441" s="44"/>
      <c r="AC441" s="44"/>
      <c r="AD441" s="44"/>
      <c r="AE441" s="44"/>
      <c r="AF441" s="44"/>
      <c r="AG441" s="44"/>
      <c r="AH441" s="44"/>
      <c r="AI441" s="44"/>
      <c r="AJ441" s="44"/>
      <c r="AK441" s="44"/>
      <c r="AL441" s="44"/>
    </row>
    <row r="442" spans="1:38" x14ac:dyDescent="0.25">
      <c r="A442" s="55"/>
      <c r="B442" s="261">
        <v>8</v>
      </c>
      <c r="C442" s="261"/>
      <c r="D442" s="261"/>
      <c r="E442" s="261" t="s">
        <v>556</v>
      </c>
      <c r="F442" s="261"/>
      <c r="G442" s="276"/>
      <c r="H442" s="262"/>
      <c r="I442" s="286"/>
      <c r="J442" s="261"/>
      <c r="K442" s="291"/>
      <c r="L442" s="261"/>
      <c r="M442" s="261"/>
      <c r="N442" s="261"/>
      <c r="O442" s="261"/>
      <c r="P442" s="263"/>
      <c r="Q442" s="263"/>
      <c r="R442" s="44"/>
      <c r="S442" s="49">
        <f t="shared" si="6"/>
        <v>0</v>
      </c>
      <c r="T442" s="44"/>
      <c r="U442" s="44"/>
      <c r="V442" s="44"/>
      <c r="W442" s="44"/>
      <c r="X442" s="44"/>
      <c r="Y442" s="44"/>
      <c r="Z442" s="44"/>
      <c r="AA442" s="44"/>
      <c r="AB442" s="44"/>
      <c r="AC442" s="44"/>
      <c r="AD442" s="44"/>
      <c r="AE442" s="44"/>
      <c r="AF442" s="44"/>
      <c r="AG442" s="44"/>
      <c r="AH442" s="44"/>
      <c r="AI442" s="44"/>
      <c r="AJ442" s="44"/>
      <c r="AK442" s="44"/>
      <c r="AL442" s="44"/>
    </row>
    <row r="443" spans="1:38" x14ac:dyDescent="0.25">
      <c r="A443" s="55"/>
      <c r="B443" s="261" t="s">
        <v>205</v>
      </c>
      <c r="C443" s="261"/>
      <c r="D443" s="261"/>
      <c r="E443" s="261" t="s">
        <v>139</v>
      </c>
      <c r="F443" s="261"/>
      <c r="G443" s="276"/>
      <c r="H443" s="262"/>
      <c r="I443" s="286"/>
      <c r="J443" s="261"/>
      <c r="K443" s="291"/>
      <c r="L443" s="261"/>
      <c r="M443" s="261"/>
      <c r="N443" s="261"/>
      <c r="O443" s="261"/>
      <c r="P443" s="263"/>
      <c r="Q443" s="263"/>
      <c r="R443" s="44"/>
      <c r="S443" s="49">
        <f t="shared" si="6"/>
        <v>0</v>
      </c>
      <c r="T443" s="44"/>
      <c r="U443" s="44"/>
      <c r="V443" s="44"/>
      <c r="W443" s="44"/>
      <c r="X443" s="44"/>
      <c r="Y443" s="44"/>
      <c r="Z443" s="44"/>
      <c r="AA443" s="44"/>
      <c r="AB443" s="44"/>
      <c r="AC443" s="44"/>
      <c r="AD443" s="44"/>
      <c r="AE443" s="44"/>
      <c r="AF443" s="44"/>
      <c r="AG443" s="44"/>
      <c r="AH443" s="44"/>
      <c r="AI443" s="44"/>
      <c r="AJ443" s="44"/>
      <c r="AK443" s="44"/>
      <c r="AL443" s="44"/>
    </row>
    <row r="444" spans="1:38" x14ac:dyDescent="0.25">
      <c r="A444" s="55"/>
      <c r="B444" s="261" t="s">
        <v>206</v>
      </c>
      <c r="C444" s="261"/>
      <c r="D444" s="261"/>
      <c r="E444" s="261" t="s">
        <v>560</v>
      </c>
      <c r="F444" s="261"/>
      <c r="G444" s="276"/>
      <c r="H444" s="262"/>
      <c r="I444" s="286"/>
      <c r="J444" s="261"/>
      <c r="K444" s="291"/>
      <c r="L444" s="261"/>
      <c r="M444" s="261"/>
      <c r="N444" s="261"/>
      <c r="O444" s="261"/>
      <c r="P444" s="263"/>
      <c r="Q444" s="263"/>
      <c r="R444" s="44"/>
      <c r="S444" s="49">
        <f t="shared" si="6"/>
        <v>0</v>
      </c>
      <c r="T444" s="44"/>
      <c r="U444" s="44"/>
      <c r="V444" s="44"/>
      <c r="W444" s="44"/>
      <c r="X444" s="44"/>
      <c r="Y444" s="44"/>
      <c r="Z444" s="44"/>
      <c r="AA444" s="44"/>
      <c r="AB444" s="44"/>
      <c r="AC444" s="44"/>
      <c r="AD444" s="44"/>
      <c r="AE444" s="44"/>
      <c r="AF444" s="44"/>
      <c r="AG444" s="44"/>
      <c r="AH444" s="44"/>
      <c r="AI444" s="44"/>
      <c r="AJ444" s="44"/>
      <c r="AK444" s="44"/>
      <c r="AL444" s="44"/>
    </row>
    <row r="445" spans="1:38" x14ac:dyDescent="0.25">
      <c r="A445" s="55"/>
      <c r="B445" s="261">
        <v>9</v>
      </c>
      <c r="C445" s="261"/>
      <c r="D445" s="261"/>
      <c r="E445" s="261" t="s">
        <v>562</v>
      </c>
      <c r="F445" s="261"/>
      <c r="G445" s="276"/>
      <c r="H445" s="262"/>
      <c r="I445" s="286"/>
      <c r="J445" s="261"/>
      <c r="K445" s="291"/>
      <c r="L445" s="261"/>
      <c r="M445" s="261"/>
      <c r="N445" s="261"/>
      <c r="O445" s="261"/>
      <c r="P445" s="263"/>
      <c r="Q445" s="263"/>
      <c r="R445" s="44"/>
      <c r="S445" s="49">
        <f t="shared" si="6"/>
        <v>0</v>
      </c>
      <c r="T445" s="44"/>
      <c r="U445" s="44"/>
      <c r="V445" s="44"/>
      <c r="W445" s="44"/>
      <c r="X445" s="44"/>
      <c r="Y445" s="44"/>
      <c r="Z445" s="44"/>
      <c r="AA445" s="44"/>
      <c r="AB445" s="44"/>
      <c r="AC445" s="44"/>
      <c r="AD445" s="44"/>
      <c r="AE445" s="44"/>
      <c r="AF445" s="44"/>
      <c r="AG445" s="44"/>
      <c r="AH445" s="44"/>
      <c r="AI445" s="44"/>
      <c r="AJ445" s="44"/>
      <c r="AK445" s="44"/>
      <c r="AL445" s="44"/>
    </row>
    <row r="446" spans="1:38" x14ac:dyDescent="0.25">
      <c r="A446" s="55"/>
      <c r="B446" s="261" t="s">
        <v>230</v>
      </c>
      <c r="C446" s="261"/>
      <c r="D446" s="261"/>
      <c r="E446" s="261" t="s">
        <v>139</v>
      </c>
      <c r="F446" s="261"/>
      <c r="G446" s="276"/>
      <c r="H446" s="262"/>
      <c r="I446" s="286"/>
      <c r="J446" s="261"/>
      <c r="K446" s="291"/>
      <c r="L446" s="261"/>
      <c r="M446" s="261"/>
      <c r="N446" s="261"/>
      <c r="O446" s="261"/>
      <c r="P446" s="263"/>
      <c r="Q446" s="263"/>
      <c r="R446" s="44"/>
      <c r="S446" s="49">
        <f t="shared" si="6"/>
        <v>0</v>
      </c>
      <c r="T446" s="44"/>
      <c r="U446" s="44"/>
      <c r="V446" s="44"/>
      <c r="W446" s="44"/>
      <c r="X446" s="44"/>
      <c r="Y446" s="44"/>
      <c r="Z446" s="44"/>
      <c r="AA446" s="44"/>
      <c r="AB446" s="44"/>
      <c r="AC446" s="44"/>
      <c r="AD446" s="44"/>
      <c r="AE446" s="44"/>
      <c r="AF446" s="44"/>
      <c r="AG446" s="44"/>
      <c r="AH446" s="44"/>
      <c r="AI446" s="44"/>
      <c r="AJ446" s="44"/>
      <c r="AK446" s="44"/>
      <c r="AL446" s="44"/>
    </row>
    <row r="447" spans="1:38" x14ac:dyDescent="0.25">
      <c r="A447" s="55"/>
      <c r="B447" s="261" t="s">
        <v>233</v>
      </c>
      <c r="C447" s="261"/>
      <c r="D447" s="261"/>
      <c r="E447" s="261" t="s">
        <v>567</v>
      </c>
      <c r="F447" s="261"/>
      <c r="G447" s="276"/>
      <c r="H447" s="262"/>
      <c r="I447" s="286"/>
      <c r="J447" s="261"/>
      <c r="K447" s="291"/>
      <c r="L447" s="261"/>
      <c r="M447" s="261"/>
      <c r="N447" s="261"/>
      <c r="O447" s="261"/>
      <c r="P447" s="263"/>
      <c r="Q447" s="263"/>
      <c r="R447" s="44"/>
      <c r="S447" s="49">
        <f t="shared" si="6"/>
        <v>0</v>
      </c>
      <c r="T447" s="44"/>
      <c r="U447" s="44"/>
      <c r="V447" s="44"/>
      <c r="W447" s="44"/>
      <c r="X447" s="44"/>
      <c r="Y447" s="44"/>
      <c r="Z447" s="44"/>
      <c r="AA447" s="44"/>
      <c r="AB447" s="44"/>
      <c r="AC447" s="44"/>
      <c r="AD447" s="44"/>
      <c r="AE447" s="44"/>
      <c r="AF447" s="44"/>
      <c r="AG447" s="44"/>
      <c r="AH447" s="44"/>
      <c r="AI447" s="44"/>
      <c r="AJ447" s="44"/>
      <c r="AK447" s="44"/>
      <c r="AL447" s="44"/>
    </row>
    <row r="448" spans="1:38" x14ac:dyDescent="0.25">
      <c r="A448" s="55"/>
      <c r="B448" s="261" t="s">
        <v>234</v>
      </c>
      <c r="C448" s="261"/>
      <c r="D448" s="261"/>
      <c r="E448" s="261" t="s">
        <v>570</v>
      </c>
      <c r="F448" s="261"/>
      <c r="G448" s="276"/>
      <c r="H448" s="262"/>
      <c r="I448" s="286"/>
      <c r="J448" s="261"/>
      <c r="K448" s="291"/>
      <c r="L448" s="261"/>
      <c r="M448" s="261"/>
      <c r="N448" s="261"/>
      <c r="O448" s="261"/>
      <c r="P448" s="263"/>
      <c r="Q448" s="263"/>
      <c r="R448" s="44"/>
      <c r="S448" s="49">
        <f t="shared" si="6"/>
        <v>0</v>
      </c>
      <c r="T448" s="44"/>
      <c r="U448" s="44"/>
      <c r="V448" s="44"/>
      <c r="W448" s="44"/>
      <c r="X448" s="44"/>
      <c r="Y448" s="44"/>
      <c r="Z448" s="44"/>
      <c r="AA448" s="44"/>
      <c r="AB448" s="44"/>
      <c r="AC448" s="44"/>
      <c r="AD448" s="44"/>
      <c r="AE448" s="44"/>
      <c r="AF448" s="44"/>
      <c r="AG448" s="44"/>
      <c r="AH448" s="44"/>
      <c r="AI448" s="44"/>
      <c r="AJ448" s="44"/>
      <c r="AK448" s="44"/>
      <c r="AL448" s="44"/>
    </row>
    <row r="449" spans="1:38" x14ac:dyDescent="0.25">
      <c r="A449" s="55"/>
      <c r="B449" s="261">
        <v>10</v>
      </c>
      <c r="C449" s="261"/>
      <c r="D449" s="261"/>
      <c r="E449" s="261" t="s">
        <v>571</v>
      </c>
      <c r="F449" s="261"/>
      <c r="G449" s="276"/>
      <c r="H449" s="262"/>
      <c r="I449" s="286"/>
      <c r="J449" s="261"/>
      <c r="K449" s="291"/>
      <c r="L449" s="261"/>
      <c r="M449" s="261"/>
      <c r="N449" s="261"/>
      <c r="O449" s="261"/>
      <c r="P449" s="263"/>
      <c r="Q449" s="263"/>
      <c r="R449" s="44"/>
      <c r="S449" s="49">
        <f t="shared" si="6"/>
        <v>0</v>
      </c>
      <c r="T449" s="44"/>
      <c r="U449" s="44"/>
      <c r="V449" s="44"/>
      <c r="W449" s="44"/>
      <c r="X449" s="44"/>
      <c r="Y449" s="44"/>
      <c r="Z449" s="44"/>
      <c r="AA449" s="44"/>
      <c r="AB449" s="44"/>
      <c r="AC449" s="44"/>
      <c r="AD449" s="44"/>
      <c r="AE449" s="44"/>
      <c r="AF449" s="44"/>
      <c r="AG449" s="44"/>
      <c r="AH449" s="44"/>
      <c r="AI449" s="44"/>
      <c r="AJ449" s="44"/>
      <c r="AK449" s="44"/>
      <c r="AL449" s="44"/>
    </row>
    <row r="450" spans="1:38" x14ac:dyDescent="0.25">
      <c r="A450" s="55"/>
      <c r="B450" s="261" t="s">
        <v>235</v>
      </c>
      <c r="C450" s="261"/>
      <c r="D450" s="261"/>
      <c r="E450" s="261" t="s">
        <v>139</v>
      </c>
      <c r="F450" s="261"/>
      <c r="G450" s="276"/>
      <c r="H450" s="262"/>
      <c r="I450" s="286"/>
      <c r="J450" s="261"/>
      <c r="K450" s="291"/>
      <c r="L450" s="261"/>
      <c r="M450" s="261"/>
      <c r="N450" s="261"/>
      <c r="O450" s="261"/>
      <c r="P450" s="263"/>
      <c r="Q450" s="263"/>
      <c r="R450" s="44"/>
      <c r="S450" s="49">
        <f t="shared" si="6"/>
        <v>0</v>
      </c>
      <c r="T450" s="44"/>
      <c r="U450" s="44"/>
      <c r="V450" s="44"/>
      <c r="W450" s="44"/>
      <c r="X450" s="44"/>
      <c r="Y450" s="44"/>
      <c r="Z450" s="44"/>
      <c r="AA450" s="44"/>
      <c r="AB450" s="44"/>
      <c r="AC450" s="44"/>
      <c r="AD450" s="44"/>
      <c r="AE450" s="44"/>
      <c r="AF450" s="44"/>
      <c r="AG450" s="44"/>
      <c r="AH450" s="44"/>
      <c r="AI450" s="44"/>
      <c r="AJ450" s="44"/>
      <c r="AK450" s="44"/>
      <c r="AL450" s="44"/>
    </row>
    <row r="451" spans="1:38" x14ac:dyDescent="0.25">
      <c r="A451" s="55"/>
      <c r="B451" s="261">
        <v>11</v>
      </c>
      <c r="C451" s="261"/>
      <c r="D451" s="261"/>
      <c r="E451" s="261" t="s">
        <v>572</v>
      </c>
      <c r="F451" s="261"/>
      <c r="G451" s="276"/>
      <c r="H451" s="262"/>
      <c r="I451" s="286"/>
      <c r="J451" s="261"/>
      <c r="K451" s="291"/>
      <c r="L451" s="261"/>
      <c r="M451" s="261"/>
      <c r="N451" s="261"/>
      <c r="O451" s="261"/>
      <c r="P451" s="263"/>
      <c r="Q451" s="263"/>
      <c r="R451" s="44"/>
      <c r="S451" s="49">
        <f t="shared" si="6"/>
        <v>0</v>
      </c>
      <c r="T451" s="44"/>
      <c r="U451" s="44"/>
      <c r="V451" s="44"/>
      <c r="W451" s="44"/>
      <c r="X451" s="44"/>
      <c r="Y451" s="44"/>
      <c r="Z451" s="44"/>
      <c r="AA451" s="44"/>
      <c r="AB451" s="44"/>
      <c r="AC451" s="44"/>
      <c r="AD451" s="44"/>
      <c r="AE451" s="44"/>
      <c r="AF451" s="44"/>
      <c r="AG451" s="44"/>
      <c r="AH451" s="44"/>
      <c r="AI451" s="44"/>
      <c r="AJ451" s="44"/>
      <c r="AK451" s="44"/>
      <c r="AL451" s="44"/>
    </row>
    <row r="452" spans="1:38" x14ac:dyDescent="0.25">
      <c r="A452" s="55"/>
      <c r="B452" s="261" t="s">
        <v>241</v>
      </c>
      <c r="C452" s="261"/>
      <c r="D452" s="261"/>
      <c r="E452" s="261" t="s">
        <v>1023</v>
      </c>
      <c r="F452" s="261"/>
      <c r="G452" s="276"/>
      <c r="H452" s="262"/>
      <c r="I452" s="286"/>
      <c r="J452" s="261"/>
      <c r="K452" s="291"/>
      <c r="L452" s="261"/>
      <c r="M452" s="261"/>
      <c r="N452" s="261"/>
      <c r="O452" s="261"/>
      <c r="P452" s="263"/>
      <c r="Q452" s="263"/>
      <c r="R452" s="44"/>
      <c r="S452" s="49">
        <f t="shared" si="6"/>
        <v>0</v>
      </c>
      <c r="T452" s="44"/>
      <c r="U452" s="44"/>
      <c r="V452" s="44"/>
      <c r="W452" s="44"/>
      <c r="X452" s="44"/>
      <c r="Y452" s="44"/>
      <c r="Z452" s="44"/>
      <c r="AA452" s="44"/>
      <c r="AB452" s="44"/>
      <c r="AC452" s="44"/>
      <c r="AD452" s="44"/>
      <c r="AE452" s="44"/>
      <c r="AF452" s="44"/>
      <c r="AG452" s="44"/>
      <c r="AH452" s="44"/>
      <c r="AI452" s="44"/>
      <c r="AJ452" s="44"/>
      <c r="AK452" s="44"/>
      <c r="AL452" s="44"/>
    </row>
    <row r="453" spans="1:38" x14ac:dyDescent="0.25">
      <c r="A453" s="55"/>
      <c r="B453" s="261">
        <v>12</v>
      </c>
      <c r="C453" s="261"/>
      <c r="D453" s="261"/>
      <c r="E453" s="261" t="s">
        <v>279</v>
      </c>
      <c r="F453" s="261"/>
      <c r="G453" s="276"/>
      <c r="H453" s="262"/>
      <c r="I453" s="286"/>
      <c r="J453" s="261"/>
      <c r="K453" s="291"/>
      <c r="L453" s="261"/>
      <c r="M453" s="261"/>
      <c r="N453" s="261"/>
      <c r="O453" s="261"/>
      <c r="P453" s="263"/>
      <c r="Q453" s="263"/>
      <c r="R453" s="44"/>
      <c r="S453" s="49">
        <f t="shared" si="6"/>
        <v>0</v>
      </c>
      <c r="T453" s="44"/>
      <c r="U453" s="44"/>
      <c r="V453" s="44"/>
      <c r="W453" s="44"/>
      <c r="X453" s="44"/>
      <c r="Y453" s="44"/>
      <c r="Z453" s="44"/>
      <c r="AA453" s="44"/>
      <c r="AB453" s="44"/>
      <c r="AC453" s="44"/>
      <c r="AD453" s="44"/>
      <c r="AE453" s="44"/>
      <c r="AF453" s="44"/>
      <c r="AG453" s="44"/>
      <c r="AH453" s="44"/>
      <c r="AI453" s="44"/>
      <c r="AJ453" s="44"/>
      <c r="AK453" s="44"/>
      <c r="AL453" s="44"/>
    </row>
    <row r="454" spans="1:38" x14ac:dyDescent="0.25">
      <c r="A454" s="55"/>
      <c r="B454" s="261" t="s">
        <v>242</v>
      </c>
      <c r="C454" s="261"/>
      <c r="D454" s="261"/>
      <c r="E454" s="261" t="s">
        <v>573</v>
      </c>
      <c r="F454" s="261"/>
      <c r="G454" s="276"/>
      <c r="H454" s="262"/>
      <c r="I454" s="286"/>
      <c r="J454" s="261"/>
      <c r="K454" s="291"/>
      <c r="L454" s="261"/>
      <c r="M454" s="261"/>
      <c r="N454" s="261"/>
      <c r="O454" s="261"/>
      <c r="P454" s="263"/>
      <c r="Q454" s="263"/>
      <c r="R454" s="44"/>
      <c r="S454" s="49">
        <f t="shared" si="6"/>
        <v>0</v>
      </c>
      <c r="T454" s="44"/>
      <c r="U454" s="44"/>
      <c r="V454" s="44"/>
      <c r="W454" s="44"/>
      <c r="X454" s="44"/>
      <c r="Y454" s="44"/>
      <c r="Z454" s="44"/>
      <c r="AA454" s="44"/>
      <c r="AB454" s="44"/>
      <c r="AC454" s="44"/>
      <c r="AD454" s="44"/>
      <c r="AE454" s="44"/>
      <c r="AF454" s="44"/>
      <c r="AG454" s="44"/>
      <c r="AH454" s="44"/>
      <c r="AI454" s="44"/>
      <c r="AJ454" s="44"/>
      <c r="AK454" s="44"/>
      <c r="AL454" s="44"/>
    </row>
    <row r="455" spans="1:38" x14ac:dyDescent="0.25">
      <c r="A455" s="55"/>
      <c r="B455" s="261" t="s">
        <v>888</v>
      </c>
      <c r="C455" s="261"/>
      <c r="D455" s="261"/>
      <c r="E455" s="261" t="s">
        <v>574</v>
      </c>
      <c r="F455" s="261"/>
      <c r="G455" s="276"/>
      <c r="H455" s="262"/>
      <c r="I455" s="286"/>
      <c r="J455" s="261"/>
      <c r="K455" s="291"/>
      <c r="L455" s="261"/>
      <c r="M455" s="261"/>
      <c r="N455" s="261"/>
      <c r="O455" s="261"/>
      <c r="P455" s="263"/>
      <c r="Q455" s="263"/>
      <c r="R455" s="44"/>
      <c r="S455" s="49">
        <f t="shared" si="6"/>
        <v>0</v>
      </c>
      <c r="T455" s="44"/>
      <c r="U455" s="44"/>
      <c r="V455" s="44"/>
      <c r="W455" s="44"/>
      <c r="X455" s="44"/>
      <c r="Y455" s="44"/>
      <c r="Z455" s="44"/>
      <c r="AA455" s="44"/>
      <c r="AB455" s="44"/>
      <c r="AC455" s="44"/>
      <c r="AD455" s="44"/>
      <c r="AE455" s="44"/>
      <c r="AF455" s="44"/>
      <c r="AG455" s="44"/>
      <c r="AH455" s="44"/>
      <c r="AI455" s="44"/>
      <c r="AJ455" s="44"/>
      <c r="AK455" s="44"/>
      <c r="AL455" s="44"/>
    </row>
    <row r="456" spans="1:38" x14ac:dyDescent="0.25">
      <c r="A456" s="55"/>
      <c r="B456" s="261" t="s">
        <v>1354</v>
      </c>
      <c r="C456" s="261"/>
      <c r="D456" s="261"/>
      <c r="E456" s="261" t="s">
        <v>245</v>
      </c>
      <c r="F456" s="261"/>
      <c r="G456" s="276"/>
      <c r="H456" s="262"/>
      <c r="I456" s="286"/>
      <c r="J456" s="261"/>
      <c r="K456" s="291"/>
      <c r="L456" s="261"/>
      <c r="M456" s="261"/>
      <c r="N456" s="261"/>
      <c r="O456" s="261"/>
      <c r="P456" s="263"/>
      <c r="Q456" s="263"/>
      <c r="R456" s="44"/>
      <c r="S456" s="49">
        <f t="shared" si="6"/>
        <v>0</v>
      </c>
      <c r="T456" s="44"/>
      <c r="U456" s="44"/>
      <c r="V456" s="44"/>
      <c r="W456" s="44"/>
      <c r="X456" s="44"/>
      <c r="Y456" s="44"/>
      <c r="Z456" s="44"/>
      <c r="AA456" s="44"/>
      <c r="AB456" s="44"/>
      <c r="AC456" s="44"/>
      <c r="AD456" s="44"/>
      <c r="AE456" s="44"/>
      <c r="AF456" s="44"/>
      <c r="AG456" s="44"/>
      <c r="AH456" s="44"/>
      <c r="AI456" s="44"/>
      <c r="AJ456" s="44"/>
      <c r="AK456" s="44"/>
      <c r="AL456" s="44"/>
    </row>
    <row r="457" spans="1:38" x14ac:dyDescent="0.25">
      <c r="A457" s="55"/>
      <c r="B457" s="261">
        <v>13</v>
      </c>
      <c r="C457" s="261"/>
      <c r="D457" s="261"/>
      <c r="E457" s="261" t="s">
        <v>575</v>
      </c>
      <c r="F457" s="261"/>
      <c r="G457" s="276"/>
      <c r="H457" s="262"/>
      <c r="I457" s="286"/>
      <c r="J457" s="261"/>
      <c r="K457" s="291"/>
      <c r="L457" s="261"/>
      <c r="M457" s="261"/>
      <c r="N457" s="261"/>
      <c r="O457" s="261"/>
      <c r="P457" s="263"/>
      <c r="Q457" s="263"/>
      <c r="R457" s="44"/>
      <c r="S457" s="49">
        <f t="shared" si="6"/>
        <v>0</v>
      </c>
      <c r="T457" s="44"/>
      <c r="U457" s="44"/>
      <c r="V457" s="44"/>
      <c r="W457" s="44"/>
      <c r="X457" s="44"/>
      <c r="Y457" s="44"/>
      <c r="Z457" s="44"/>
      <c r="AA457" s="44"/>
      <c r="AB457" s="44"/>
      <c r="AC457" s="44"/>
      <c r="AD457" s="44"/>
      <c r="AE457" s="44"/>
      <c r="AF457" s="44"/>
      <c r="AG457" s="44"/>
      <c r="AH457" s="44"/>
      <c r="AI457" s="44"/>
      <c r="AJ457" s="44"/>
      <c r="AK457" s="44"/>
      <c r="AL457" s="44"/>
    </row>
    <row r="458" spans="1:38" ht="13.8" customHeight="1" x14ac:dyDescent="0.25">
      <c r="A458" s="55"/>
      <c r="B458" s="261">
        <v>14</v>
      </c>
      <c r="C458" s="261"/>
      <c r="D458" s="261"/>
      <c r="E458" s="261" t="s">
        <v>576</v>
      </c>
      <c r="F458" s="261"/>
      <c r="G458" s="276"/>
      <c r="H458" s="262"/>
      <c r="I458" s="286"/>
      <c r="J458" s="261"/>
      <c r="K458" s="291"/>
      <c r="L458" s="261"/>
      <c r="M458" s="261"/>
      <c r="N458" s="261"/>
      <c r="O458" s="261"/>
      <c r="P458" s="263"/>
      <c r="Q458" s="263"/>
      <c r="R458" s="44"/>
      <c r="S458" s="49">
        <f t="shared" si="6"/>
        <v>0</v>
      </c>
      <c r="T458" s="44"/>
      <c r="U458" s="44"/>
      <c r="V458" s="44"/>
      <c r="W458" s="44"/>
      <c r="X458" s="44"/>
      <c r="Y458" s="44"/>
      <c r="Z458" s="44"/>
      <c r="AA458" s="44"/>
      <c r="AB458" s="44"/>
      <c r="AC458" s="44"/>
      <c r="AD458" s="44"/>
      <c r="AE458" s="44"/>
      <c r="AF458" s="44"/>
      <c r="AG458" s="44"/>
      <c r="AH458" s="44"/>
      <c r="AI458" s="44"/>
      <c r="AJ458" s="44"/>
      <c r="AK458" s="44"/>
      <c r="AL458" s="44"/>
    </row>
    <row r="459" spans="1:38" x14ac:dyDescent="0.25">
      <c r="A459" s="55"/>
      <c r="B459" s="261" t="s">
        <v>251</v>
      </c>
      <c r="C459" s="261"/>
      <c r="D459" s="261"/>
      <c r="E459" s="261" t="s">
        <v>577</v>
      </c>
      <c r="F459" s="261"/>
      <c r="G459" s="276"/>
      <c r="H459" s="262"/>
      <c r="I459" s="286"/>
      <c r="J459" s="261"/>
      <c r="K459" s="291"/>
      <c r="L459" s="261"/>
      <c r="M459" s="261"/>
      <c r="N459" s="261"/>
      <c r="O459" s="261"/>
      <c r="P459" s="263"/>
      <c r="Q459" s="263"/>
      <c r="R459" s="44"/>
      <c r="S459" s="49">
        <f t="shared" si="6"/>
        <v>0</v>
      </c>
      <c r="T459" s="44"/>
      <c r="U459" s="44"/>
      <c r="V459" s="44"/>
      <c r="W459" s="44"/>
      <c r="X459" s="44"/>
      <c r="Y459" s="44"/>
      <c r="Z459" s="44"/>
      <c r="AA459" s="44"/>
      <c r="AB459" s="44"/>
      <c r="AC459" s="44"/>
      <c r="AD459" s="44"/>
      <c r="AE459" s="44"/>
      <c r="AF459" s="44"/>
      <c r="AG459" s="44"/>
      <c r="AH459" s="44"/>
      <c r="AI459" s="44"/>
      <c r="AJ459" s="44"/>
      <c r="AK459" s="44"/>
      <c r="AL459" s="44"/>
    </row>
    <row r="460" spans="1:38" ht="27.6" customHeight="1" x14ac:dyDescent="0.25">
      <c r="A460" s="55"/>
      <c r="B460" s="261" t="s">
        <v>866</v>
      </c>
      <c r="C460" s="261"/>
      <c r="D460" s="261"/>
      <c r="E460" s="261" t="s">
        <v>582</v>
      </c>
      <c r="F460" s="261"/>
      <c r="G460" s="276"/>
      <c r="H460" s="262"/>
      <c r="I460" s="286"/>
      <c r="J460" s="261"/>
      <c r="K460" s="291"/>
      <c r="L460" s="261"/>
      <c r="M460" s="261"/>
      <c r="N460" s="261"/>
      <c r="O460" s="261"/>
      <c r="P460" s="263"/>
      <c r="Q460" s="263"/>
      <c r="R460" s="44"/>
      <c r="S460" s="49">
        <f t="shared" si="6"/>
        <v>0</v>
      </c>
      <c r="T460" s="44"/>
      <c r="U460" s="44"/>
      <c r="V460" s="44"/>
      <c r="W460" s="44"/>
      <c r="X460" s="44"/>
      <c r="Y460" s="44"/>
      <c r="Z460" s="44"/>
      <c r="AA460" s="44"/>
      <c r="AB460" s="44"/>
      <c r="AC460" s="44"/>
      <c r="AD460" s="44"/>
      <c r="AE460" s="44"/>
      <c r="AF460" s="44"/>
      <c r="AG460" s="44"/>
      <c r="AH460" s="44"/>
      <c r="AI460" s="44"/>
      <c r="AJ460" s="44"/>
      <c r="AK460" s="44"/>
      <c r="AL460" s="44"/>
    </row>
    <row r="461" spans="1:38" x14ac:dyDescent="0.25">
      <c r="A461" s="55"/>
      <c r="B461" s="261" t="s">
        <v>1040</v>
      </c>
      <c r="C461" s="261"/>
      <c r="D461" s="261"/>
      <c r="E461" s="261" t="s">
        <v>835</v>
      </c>
      <c r="F461" s="261"/>
      <c r="G461" s="276"/>
      <c r="H461" s="262"/>
      <c r="I461" s="286"/>
      <c r="J461" s="261"/>
      <c r="K461" s="291"/>
      <c r="L461" s="261"/>
      <c r="M461" s="261"/>
      <c r="N461" s="261"/>
      <c r="O461" s="261"/>
      <c r="P461" s="263"/>
      <c r="Q461" s="263"/>
      <c r="R461" s="44"/>
      <c r="S461" s="49">
        <f t="shared" si="6"/>
        <v>0</v>
      </c>
      <c r="T461" s="44"/>
      <c r="U461" s="44"/>
      <c r="V461" s="44"/>
      <c r="W461" s="44"/>
      <c r="X461" s="44"/>
      <c r="Y461" s="44"/>
      <c r="Z461" s="44"/>
      <c r="AA461" s="44"/>
      <c r="AB461" s="44"/>
      <c r="AC461" s="44"/>
      <c r="AD461" s="44"/>
      <c r="AE461" s="44"/>
      <c r="AF461" s="44"/>
      <c r="AG461" s="44"/>
      <c r="AH461" s="44"/>
      <c r="AI461" s="44"/>
      <c r="AJ461" s="44"/>
      <c r="AK461" s="44"/>
      <c r="AL461" s="44"/>
    </row>
    <row r="462" spans="1:38" x14ac:dyDescent="0.25">
      <c r="A462" s="55"/>
      <c r="B462" s="261">
        <v>15</v>
      </c>
      <c r="C462" s="261"/>
      <c r="D462" s="261"/>
      <c r="E462" s="261" t="s">
        <v>586</v>
      </c>
      <c r="F462" s="261"/>
      <c r="G462" s="276"/>
      <c r="H462" s="262"/>
      <c r="I462" s="286"/>
      <c r="J462" s="261"/>
      <c r="K462" s="291"/>
      <c r="L462" s="261"/>
      <c r="M462" s="261"/>
      <c r="N462" s="261"/>
      <c r="O462" s="261"/>
      <c r="P462" s="263"/>
      <c r="Q462" s="263"/>
      <c r="R462" s="44"/>
      <c r="S462" s="49">
        <f t="shared" si="6"/>
        <v>0</v>
      </c>
      <c r="T462" s="44"/>
      <c r="U462" s="44"/>
      <c r="V462" s="44"/>
      <c r="W462" s="44"/>
      <c r="X462" s="44"/>
      <c r="Y462" s="44"/>
      <c r="Z462" s="44"/>
      <c r="AA462" s="44"/>
      <c r="AB462" s="44"/>
      <c r="AC462" s="44"/>
      <c r="AD462" s="44"/>
      <c r="AE462" s="44"/>
      <c r="AF462" s="44"/>
      <c r="AG462" s="44"/>
      <c r="AH462" s="44"/>
      <c r="AI462" s="44"/>
      <c r="AJ462" s="44"/>
      <c r="AK462" s="44"/>
      <c r="AL462" s="44"/>
    </row>
    <row r="463" spans="1:38" x14ac:dyDescent="0.25">
      <c r="A463" s="55"/>
      <c r="B463" s="261" t="s">
        <v>263</v>
      </c>
      <c r="C463" s="261"/>
      <c r="D463" s="261"/>
      <c r="E463" s="261" t="s">
        <v>587</v>
      </c>
      <c r="F463" s="261"/>
      <c r="G463" s="276"/>
      <c r="H463" s="262"/>
      <c r="I463" s="286"/>
      <c r="J463" s="261"/>
      <c r="K463" s="291"/>
      <c r="L463" s="261"/>
      <c r="M463" s="261"/>
      <c r="N463" s="261"/>
      <c r="O463" s="261"/>
      <c r="P463" s="263"/>
      <c r="Q463" s="263"/>
      <c r="R463" s="44"/>
      <c r="S463" s="49">
        <f t="shared" si="6"/>
        <v>0</v>
      </c>
      <c r="T463" s="44"/>
      <c r="U463" s="44"/>
      <c r="V463" s="44"/>
      <c r="W463" s="44"/>
      <c r="X463" s="44"/>
      <c r="Y463" s="44"/>
      <c r="Z463" s="44"/>
      <c r="AA463" s="44"/>
      <c r="AB463" s="44"/>
      <c r="AC463" s="44"/>
      <c r="AD463" s="44"/>
      <c r="AE463" s="44"/>
      <c r="AF463" s="44"/>
      <c r="AG463" s="44"/>
      <c r="AH463" s="44"/>
      <c r="AI463" s="44"/>
      <c r="AJ463" s="44"/>
      <c r="AK463" s="44"/>
      <c r="AL463" s="44"/>
    </row>
    <row r="464" spans="1:38" x14ac:dyDescent="0.25">
      <c r="A464" s="55"/>
      <c r="B464" s="261" t="s">
        <v>1239</v>
      </c>
      <c r="C464" s="261"/>
      <c r="D464" s="261"/>
      <c r="E464" s="261" t="s">
        <v>180</v>
      </c>
      <c r="F464" s="261"/>
      <c r="G464" s="276"/>
      <c r="H464" s="262"/>
      <c r="I464" s="286"/>
      <c r="J464" s="261"/>
      <c r="K464" s="291"/>
      <c r="L464" s="261"/>
      <c r="M464" s="261"/>
      <c r="N464" s="261"/>
      <c r="O464" s="261"/>
      <c r="P464" s="263"/>
      <c r="Q464" s="263"/>
      <c r="R464" s="44"/>
      <c r="S464" s="49">
        <f t="shared" si="6"/>
        <v>0</v>
      </c>
      <c r="T464" s="44"/>
      <c r="U464" s="44"/>
      <c r="V464" s="44"/>
      <c r="W464" s="44"/>
      <c r="X464" s="44"/>
      <c r="Y464" s="44"/>
      <c r="Z464" s="44"/>
      <c r="AA464" s="44"/>
      <c r="AB464" s="44"/>
      <c r="AC464" s="44"/>
      <c r="AD464" s="44"/>
      <c r="AE464" s="44"/>
      <c r="AF464" s="44"/>
      <c r="AG464" s="44"/>
      <c r="AH464" s="44"/>
      <c r="AI464" s="44"/>
      <c r="AJ464" s="44"/>
      <c r="AK464" s="44"/>
      <c r="AL464" s="44"/>
    </row>
    <row r="465" spans="1:38" x14ac:dyDescent="0.25">
      <c r="A465" s="55"/>
      <c r="B465" s="261" t="s">
        <v>1274</v>
      </c>
      <c r="C465" s="261"/>
      <c r="D465" s="261"/>
      <c r="E465" s="261" t="s">
        <v>664</v>
      </c>
      <c r="F465" s="261"/>
      <c r="G465" s="276"/>
      <c r="H465" s="262"/>
      <c r="I465" s="286"/>
      <c r="J465" s="261"/>
      <c r="K465" s="291"/>
      <c r="L465" s="261"/>
      <c r="M465" s="261"/>
      <c r="N465" s="261"/>
      <c r="O465" s="261"/>
      <c r="P465" s="263"/>
      <c r="Q465" s="263"/>
      <c r="R465" s="44"/>
      <c r="S465" s="49">
        <f t="shared" si="6"/>
        <v>0</v>
      </c>
      <c r="T465" s="44"/>
      <c r="U465" s="44"/>
      <c r="V465" s="44"/>
      <c r="W465" s="44"/>
      <c r="X465" s="44"/>
      <c r="Y465" s="44"/>
      <c r="Z465" s="44"/>
      <c r="AA465" s="44"/>
      <c r="AB465" s="44"/>
      <c r="AC465" s="44"/>
      <c r="AD465" s="44"/>
      <c r="AE465" s="44"/>
      <c r="AF465" s="44"/>
      <c r="AG465" s="44"/>
      <c r="AH465" s="44"/>
      <c r="AI465" s="44"/>
      <c r="AJ465" s="44"/>
      <c r="AK465" s="44"/>
      <c r="AL465" s="44"/>
    </row>
    <row r="466" spans="1:38" x14ac:dyDescent="0.25">
      <c r="A466" s="55"/>
      <c r="B466" s="261" t="s">
        <v>1293</v>
      </c>
      <c r="C466" s="261"/>
      <c r="D466" s="261"/>
      <c r="E466" s="261" t="s">
        <v>667</v>
      </c>
      <c r="F466" s="261"/>
      <c r="G466" s="276"/>
      <c r="H466" s="262"/>
      <c r="I466" s="286"/>
      <c r="J466" s="261"/>
      <c r="K466" s="291"/>
      <c r="L466" s="261"/>
      <c r="M466" s="261"/>
      <c r="N466" s="261"/>
      <c r="O466" s="261"/>
      <c r="P466" s="263"/>
      <c r="Q466" s="263"/>
      <c r="R466" s="44"/>
      <c r="S466" s="49">
        <f t="shared" si="6"/>
        <v>0</v>
      </c>
      <c r="T466" s="44"/>
      <c r="U466" s="44"/>
      <c r="V466" s="44"/>
      <c r="W466" s="44"/>
      <c r="X466" s="44"/>
      <c r="Y466" s="44"/>
      <c r="Z466" s="44"/>
      <c r="AA466" s="44"/>
      <c r="AB466" s="44"/>
      <c r="AC466" s="44"/>
      <c r="AD466" s="44"/>
      <c r="AE466" s="44"/>
      <c r="AF466" s="44"/>
      <c r="AG466" s="44"/>
      <c r="AH466" s="44"/>
      <c r="AI466" s="44"/>
      <c r="AJ466" s="44"/>
      <c r="AK466" s="44"/>
      <c r="AL466" s="44"/>
    </row>
    <row r="467" spans="1:38" ht="15.75" customHeight="1" x14ac:dyDescent="0.25">
      <c r="A467" s="44"/>
      <c r="B467" s="261">
        <v>16</v>
      </c>
      <c r="C467" s="261"/>
      <c r="D467" s="261"/>
      <c r="E467" s="261" t="s">
        <v>673</v>
      </c>
      <c r="F467" s="261"/>
      <c r="G467" s="276"/>
      <c r="H467" s="262"/>
      <c r="I467" s="286"/>
      <c r="J467" s="261"/>
      <c r="K467" s="291"/>
      <c r="L467" s="261"/>
      <c r="M467" s="261"/>
      <c r="N467" s="261"/>
      <c r="O467" s="261"/>
      <c r="P467" s="263"/>
      <c r="Q467" s="263"/>
      <c r="R467" s="44"/>
      <c r="S467" s="49">
        <f t="shared" si="6"/>
        <v>0</v>
      </c>
      <c r="T467" s="44"/>
      <c r="U467" s="44"/>
      <c r="V467" s="44"/>
      <c r="W467" s="44"/>
      <c r="X467" s="44"/>
      <c r="Y467" s="44"/>
      <c r="Z467" s="44"/>
      <c r="AA467" s="44"/>
      <c r="AB467" s="44"/>
      <c r="AC467" s="44"/>
      <c r="AD467" s="44"/>
      <c r="AE467" s="44"/>
      <c r="AF467" s="44"/>
      <c r="AG467" s="44"/>
      <c r="AH467" s="44"/>
      <c r="AI467" s="44"/>
      <c r="AJ467" s="44"/>
      <c r="AK467" s="44"/>
      <c r="AL467" s="44"/>
    </row>
    <row r="468" spans="1:38" ht="15.75" customHeight="1" x14ac:dyDescent="0.25">
      <c r="A468" s="44"/>
      <c r="B468" s="261" t="s">
        <v>271</v>
      </c>
      <c r="C468" s="261"/>
      <c r="D468" s="261"/>
      <c r="E468" s="261" t="s">
        <v>674</v>
      </c>
      <c r="F468" s="261"/>
      <c r="G468" s="276"/>
      <c r="H468" s="262"/>
      <c r="I468" s="286"/>
      <c r="J468" s="261"/>
      <c r="K468" s="291"/>
      <c r="L468" s="261"/>
      <c r="M468" s="261"/>
      <c r="N468" s="261"/>
      <c r="O468" s="261"/>
      <c r="P468" s="263"/>
      <c r="Q468" s="263"/>
      <c r="R468" s="44"/>
      <c r="S468" s="49">
        <f t="shared" si="6"/>
        <v>0</v>
      </c>
      <c r="T468" s="44"/>
      <c r="U468" s="44"/>
      <c r="V468" s="44"/>
      <c r="W468" s="44"/>
      <c r="X468" s="44"/>
      <c r="Y468" s="44"/>
      <c r="Z468" s="44"/>
      <c r="AA468" s="44"/>
      <c r="AB468" s="44"/>
      <c r="AC468" s="44"/>
      <c r="AD468" s="44"/>
      <c r="AE468" s="44"/>
      <c r="AF468" s="44"/>
      <c r="AG468" s="44"/>
      <c r="AH468" s="44"/>
      <c r="AI468" s="44"/>
      <c r="AJ468" s="44"/>
      <c r="AK468" s="44"/>
      <c r="AL468" s="44"/>
    </row>
    <row r="469" spans="1:38" ht="15.75" customHeight="1" x14ac:dyDescent="0.25">
      <c r="A469" s="44"/>
      <c r="B469" s="261" t="s">
        <v>790</v>
      </c>
      <c r="C469" s="261"/>
      <c r="D469" s="261"/>
      <c r="E469" s="261" t="s">
        <v>274</v>
      </c>
      <c r="F469" s="261"/>
      <c r="G469" s="276"/>
      <c r="H469" s="262"/>
      <c r="I469" s="286"/>
      <c r="J469" s="261"/>
      <c r="K469" s="291"/>
      <c r="L469" s="261"/>
      <c r="M469" s="261"/>
      <c r="N469" s="261"/>
      <c r="O469" s="261"/>
      <c r="P469" s="263"/>
      <c r="Q469" s="263"/>
      <c r="R469" s="44"/>
      <c r="S469" s="49">
        <f t="shared" ref="S469:S480" si="7">G469*H469</f>
        <v>0</v>
      </c>
      <c r="T469" s="44"/>
      <c r="U469" s="44"/>
      <c r="V469" s="44"/>
      <c r="W469" s="44"/>
      <c r="X469" s="44"/>
      <c r="Y469" s="44"/>
      <c r="Z469" s="44"/>
      <c r="AA469" s="44"/>
      <c r="AB469" s="44"/>
      <c r="AC469" s="44"/>
      <c r="AD469" s="44"/>
      <c r="AE469" s="44"/>
      <c r="AF469" s="44"/>
      <c r="AG469" s="44"/>
      <c r="AH469" s="44"/>
      <c r="AI469" s="44"/>
      <c r="AJ469" s="44"/>
      <c r="AK469" s="44"/>
      <c r="AL469" s="44"/>
    </row>
    <row r="470" spans="1:38" ht="15.75" customHeight="1" x14ac:dyDescent="0.25">
      <c r="A470" s="44"/>
      <c r="B470" s="261" t="s">
        <v>891</v>
      </c>
      <c r="C470" s="261"/>
      <c r="D470" s="261"/>
      <c r="E470" s="261" t="s">
        <v>726</v>
      </c>
      <c r="F470" s="261"/>
      <c r="G470" s="276"/>
      <c r="H470" s="262"/>
      <c r="I470" s="286"/>
      <c r="J470" s="261"/>
      <c r="K470" s="291"/>
      <c r="L470" s="261"/>
      <c r="M470" s="261"/>
      <c r="N470" s="261"/>
      <c r="O470" s="261"/>
      <c r="P470" s="263"/>
      <c r="Q470" s="263"/>
      <c r="R470" s="44"/>
      <c r="S470" s="49">
        <f t="shared" si="7"/>
        <v>0</v>
      </c>
      <c r="T470" s="44"/>
      <c r="U470" s="44"/>
      <c r="V470" s="44"/>
      <c r="W470" s="44"/>
      <c r="X470" s="44"/>
      <c r="Y470" s="44"/>
      <c r="Z470" s="44"/>
      <c r="AA470" s="44"/>
      <c r="AB470" s="44"/>
      <c r="AC470" s="44"/>
      <c r="AD470" s="44"/>
      <c r="AE470" s="44"/>
      <c r="AF470" s="44"/>
      <c r="AG470" s="44"/>
      <c r="AH470" s="44"/>
      <c r="AI470" s="44"/>
      <c r="AJ470" s="44"/>
      <c r="AK470" s="44"/>
      <c r="AL470" s="44"/>
    </row>
    <row r="471" spans="1:38" ht="15.75" customHeight="1" x14ac:dyDescent="0.25">
      <c r="A471" s="44"/>
      <c r="B471" s="261">
        <v>17</v>
      </c>
      <c r="C471" s="261"/>
      <c r="D471" s="261"/>
      <c r="E471" s="261" t="s">
        <v>294</v>
      </c>
      <c r="F471" s="261"/>
      <c r="G471" s="276"/>
      <c r="H471" s="262"/>
      <c r="I471" s="286"/>
      <c r="J471" s="261"/>
      <c r="K471" s="291"/>
      <c r="L471" s="261"/>
      <c r="M471" s="261"/>
      <c r="N471" s="261"/>
      <c r="O471" s="261"/>
      <c r="P471" s="263"/>
      <c r="Q471" s="263"/>
      <c r="R471" s="44"/>
      <c r="S471" s="49">
        <f t="shared" si="7"/>
        <v>0</v>
      </c>
      <c r="T471" s="44"/>
      <c r="U471" s="44"/>
      <c r="V471" s="44"/>
      <c r="W471" s="44"/>
      <c r="X471" s="44"/>
      <c r="Y471" s="44"/>
      <c r="Z471" s="44"/>
      <c r="AA471" s="44"/>
      <c r="AB471" s="44"/>
      <c r="AC471" s="44"/>
      <c r="AD471" s="44"/>
      <c r="AE471" s="44"/>
      <c r="AF471" s="44"/>
      <c r="AG471" s="44"/>
      <c r="AH471" s="44"/>
      <c r="AI471" s="44"/>
      <c r="AJ471" s="44"/>
      <c r="AK471" s="44"/>
      <c r="AL471" s="44"/>
    </row>
    <row r="472" spans="1:38" ht="15.75" customHeight="1" x14ac:dyDescent="0.25">
      <c r="A472" s="44"/>
      <c r="B472" s="261" t="s">
        <v>275</v>
      </c>
      <c r="C472" s="261"/>
      <c r="D472" s="261"/>
      <c r="E472" s="261" t="s">
        <v>674</v>
      </c>
      <c r="F472" s="261"/>
      <c r="G472" s="276"/>
      <c r="H472" s="262"/>
      <c r="I472" s="286"/>
      <c r="J472" s="261"/>
      <c r="K472" s="291"/>
      <c r="L472" s="261"/>
      <c r="M472" s="261"/>
      <c r="N472" s="261"/>
      <c r="O472" s="261"/>
      <c r="P472" s="263"/>
      <c r="Q472" s="263"/>
      <c r="R472" s="44"/>
      <c r="S472" s="49">
        <f t="shared" si="7"/>
        <v>0</v>
      </c>
      <c r="T472" s="44"/>
      <c r="U472" s="44"/>
      <c r="V472" s="44"/>
      <c r="W472" s="44"/>
      <c r="X472" s="44"/>
      <c r="Y472" s="44"/>
      <c r="Z472" s="44"/>
      <c r="AA472" s="44"/>
      <c r="AB472" s="44"/>
      <c r="AC472" s="44"/>
      <c r="AD472" s="44"/>
      <c r="AE472" s="44"/>
      <c r="AF472" s="44"/>
      <c r="AG472" s="44"/>
      <c r="AH472" s="44"/>
      <c r="AI472" s="44"/>
      <c r="AJ472" s="44"/>
      <c r="AK472" s="44"/>
      <c r="AL472" s="44"/>
    </row>
    <row r="473" spans="1:38" ht="15.75" customHeight="1" x14ac:dyDescent="0.25">
      <c r="A473" s="44"/>
      <c r="B473" s="261" t="s">
        <v>276</v>
      </c>
      <c r="C473" s="261"/>
      <c r="D473" s="261"/>
      <c r="E473" s="261" t="s">
        <v>577</v>
      </c>
      <c r="F473" s="261"/>
      <c r="G473" s="276"/>
      <c r="H473" s="262"/>
      <c r="I473" s="286"/>
      <c r="J473" s="261"/>
      <c r="K473" s="291"/>
      <c r="L473" s="261"/>
      <c r="M473" s="261"/>
      <c r="N473" s="261"/>
      <c r="O473" s="261"/>
      <c r="P473" s="263"/>
      <c r="Q473" s="263"/>
      <c r="R473" s="44"/>
      <c r="S473" s="49">
        <f t="shared" si="7"/>
        <v>0</v>
      </c>
      <c r="T473" s="44"/>
      <c r="U473" s="44"/>
      <c r="V473" s="44"/>
      <c r="W473" s="44"/>
      <c r="X473" s="44"/>
      <c r="Y473" s="44"/>
      <c r="Z473" s="44"/>
      <c r="AA473" s="44"/>
      <c r="AB473" s="44"/>
      <c r="AC473" s="44"/>
      <c r="AD473" s="44"/>
      <c r="AE473" s="44"/>
      <c r="AF473" s="44"/>
      <c r="AG473" s="44"/>
      <c r="AH473" s="44"/>
      <c r="AI473" s="44"/>
      <c r="AJ473" s="44"/>
      <c r="AK473" s="44"/>
      <c r="AL473" s="44"/>
    </row>
    <row r="474" spans="1:38" ht="15.75" customHeight="1" x14ac:dyDescent="0.25">
      <c r="A474" s="44"/>
      <c r="B474" s="261">
        <v>18</v>
      </c>
      <c r="C474" s="261"/>
      <c r="D474" s="261"/>
      <c r="E474" s="261" t="s">
        <v>295</v>
      </c>
      <c r="F474" s="261"/>
      <c r="G474" s="276"/>
      <c r="H474" s="262"/>
      <c r="I474" s="286"/>
      <c r="J474" s="261"/>
      <c r="K474" s="291"/>
      <c r="L474" s="261"/>
      <c r="M474" s="261"/>
      <c r="N474" s="261"/>
      <c r="O474" s="261"/>
      <c r="P474" s="263"/>
      <c r="Q474" s="263"/>
      <c r="R474" s="44"/>
      <c r="S474" s="49">
        <f t="shared" si="7"/>
        <v>0</v>
      </c>
      <c r="T474" s="44"/>
      <c r="U474" s="44"/>
      <c r="V474" s="44"/>
      <c r="W474" s="44"/>
      <c r="X474" s="44"/>
      <c r="Y474" s="44"/>
      <c r="Z474" s="44"/>
      <c r="AA474" s="44"/>
      <c r="AB474" s="44"/>
      <c r="AC474" s="44"/>
      <c r="AD474" s="44"/>
      <c r="AE474" s="44"/>
      <c r="AF474" s="44"/>
      <c r="AG474" s="44"/>
      <c r="AH474" s="44"/>
      <c r="AI474" s="44"/>
      <c r="AJ474" s="44"/>
      <c r="AK474" s="44"/>
      <c r="AL474" s="44"/>
    </row>
    <row r="475" spans="1:38" ht="15.75" customHeight="1" x14ac:dyDescent="0.25">
      <c r="A475" s="44"/>
      <c r="B475" s="261">
        <v>19</v>
      </c>
      <c r="C475" s="261"/>
      <c r="D475" s="261"/>
      <c r="E475" s="261" t="s">
        <v>298</v>
      </c>
      <c r="F475" s="261"/>
      <c r="G475" s="276"/>
      <c r="H475" s="262"/>
      <c r="I475" s="286"/>
      <c r="J475" s="261"/>
      <c r="K475" s="291"/>
      <c r="L475" s="261"/>
      <c r="M475" s="261"/>
      <c r="N475" s="261"/>
      <c r="O475" s="261"/>
      <c r="P475" s="263"/>
      <c r="Q475" s="263"/>
      <c r="R475" s="44"/>
      <c r="S475" s="49">
        <f t="shared" si="7"/>
        <v>0</v>
      </c>
      <c r="T475" s="44"/>
      <c r="U475" s="44"/>
      <c r="V475" s="44"/>
      <c r="W475" s="44"/>
      <c r="X475" s="44"/>
      <c r="Y475" s="44"/>
      <c r="Z475" s="44"/>
      <c r="AA475" s="44"/>
      <c r="AB475" s="44"/>
      <c r="AC475" s="44"/>
      <c r="AD475" s="44"/>
      <c r="AE475" s="44"/>
      <c r="AF475" s="44"/>
      <c r="AG475" s="44"/>
      <c r="AH475" s="44"/>
      <c r="AI475" s="44"/>
      <c r="AJ475" s="44"/>
      <c r="AK475" s="44"/>
      <c r="AL475" s="44"/>
    </row>
    <row r="476" spans="1:38" ht="15.75" customHeight="1" x14ac:dyDescent="0.25">
      <c r="A476" s="44"/>
      <c r="B476" s="261">
        <v>20</v>
      </c>
      <c r="C476" s="261"/>
      <c r="D476" s="261"/>
      <c r="E476" s="261" t="s">
        <v>741</v>
      </c>
      <c r="F476" s="261"/>
      <c r="G476" s="276"/>
      <c r="H476" s="262"/>
      <c r="I476" s="286"/>
      <c r="J476" s="261"/>
      <c r="K476" s="291"/>
      <c r="L476" s="261"/>
      <c r="M476" s="261"/>
      <c r="N476" s="261"/>
      <c r="O476" s="261"/>
      <c r="P476" s="263"/>
      <c r="Q476" s="263"/>
      <c r="R476" s="44"/>
      <c r="S476" s="49">
        <f t="shared" si="7"/>
        <v>0</v>
      </c>
      <c r="T476" s="44"/>
      <c r="U476" s="44"/>
      <c r="V476" s="44"/>
      <c r="W476" s="44"/>
      <c r="X476" s="44"/>
      <c r="Y476" s="44"/>
      <c r="Z476" s="44"/>
      <c r="AA476" s="44"/>
      <c r="AB476" s="44"/>
      <c r="AC476" s="44"/>
      <c r="AD476" s="44"/>
      <c r="AE476" s="44"/>
      <c r="AF476" s="44"/>
      <c r="AG476" s="44"/>
      <c r="AH476" s="44"/>
      <c r="AI476" s="44"/>
      <c r="AJ476" s="44"/>
      <c r="AK476" s="44"/>
      <c r="AL476" s="44"/>
    </row>
    <row r="477" spans="1:38" ht="15.75" customHeight="1" x14ac:dyDescent="0.25">
      <c r="A477" s="44"/>
      <c r="B477" s="261" t="s">
        <v>286</v>
      </c>
      <c r="C477" s="261"/>
      <c r="D477" s="261"/>
      <c r="E477" s="261" t="s">
        <v>776</v>
      </c>
      <c r="F477" s="261"/>
      <c r="G477" s="276"/>
      <c r="H477" s="262"/>
      <c r="I477" s="286"/>
      <c r="J477" s="261"/>
      <c r="K477" s="291"/>
      <c r="L477" s="261"/>
      <c r="M477" s="261"/>
      <c r="N477" s="261"/>
      <c r="O477" s="261"/>
      <c r="P477" s="263"/>
      <c r="Q477" s="263"/>
      <c r="R477" s="44"/>
      <c r="S477" s="49">
        <f t="shared" si="7"/>
        <v>0</v>
      </c>
      <c r="T477" s="44"/>
      <c r="U477" s="44"/>
      <c r="V477" s="44"/>
      <c r="W477" s="44"/>
      <c r="X477" s="44"/>
      <c r="Y477" s="44"/>
      <c r="Z477" s="44"/>
      <c r="AA477" s="44"/>
      <c r="AB477" s="44"/>
      <c r="AC477" s="44"/>
      <c r="AD477" s="44"/>
      <c r="AE477" s="44"/>
      <c r="AF477" s="44"/>
      <c r="AG477" s="44"/>
      <c r="AH477" s="44"/>
      <c r="AI477" s="44"/>
      <c r="AJ477" s="44"/>
      <c r="AK477" s="44"/>
      <c r="AL477" s="44"/>
    </row>
    <row r="478" spans="1:38" ht="15.75" customHeight="1" x14ac:dyDescent="0.25">
      <c r="A478" s="44"/>
      <c r="B478" s="261" t="s">
        <v>289</v>
      </c>
      <c r="C478" s="261"/>
      <c r="D478" s="261"/>
      <c r="E478" s="261" t="s">
        <v>290</v>
      </c>
      <c r="F478" s="261"/>
      <c r="G478" s="276"/>
      <c r="H478" s="262"/>
      <c r="I478" s="286"/>
      <c r="J478" s="261"/>
      <c r="K478" s="291"/>
      <c r="L478" s="261"/>
      <c r="M478" s="261"/>
      <c r="N478" s="261"/>
      <c r="O478" s="261"/>
      <c r="P478" s="263"/>
      <c r="Q478" s="263"/>
      <c r="R478" s="44"/>
      <c r="S478" s="49">
        <f t="shared" si="7"/>
        <v>0</v>
      </c>
      <c r="T478" s="44"/>
      <c r="U478" s="44"/>
      <c r="V478" s="44"/>
      <c r="W478" s="44"/>
      <c r="X478" s="44"/>
      <c r="Y478" s="44"/>
      <c r="Z478" s="44"/>
      <c r="AA478" s="44"/>
      <c r="AB478" s="44"/>
      <c r="AC478" s="44"/>
      <c r="AD478" s="44"/>
      <c r="AE478" s="44"/>
      <c r="AF478" s="44"/>
      <c r="AG478" s="44"/>
      <c r="AH478" s="44"/>
      <c r="AI478" s="44"/>
      <c r="AJ478" s="44"/>
      <c r="AK478" s="44"/>
      <c r="AL478" s="44"/>
    </row>
    <row r="479" spans="1:38" ht="15.75" customHeight="1" x14ac:dyDescent="0.25">
      <c r="A479" s="44"/>
      <c r="B479" s="261" t="s">
        <v>782</v>
      </c>
      <c r="C479" s="261"/>
      <c r="D479" s="261"/>
      <c r="E479" s="261" t="s">
        <v>743</v>
      </c>
      <c r="F479" s="261"/>
      <c r="G479" s="276"/>
      <c r="H479" s="262"/>
      <c r="I479" s="286"/>
      <c r="J479" s="261"/>
      <c r="K479" s="291"/>
      <c r="L479" s="261"/>
      <c r="M479" s="261"/>
      <c r="N479" s="261"/>
      <c r="O479" s="261"/>
      <c r="P479" s="263"/>
      <c r="Q479" s="263"/>
      <c r="R479" s="44"/>
      <c r="S479" s="49">
        <f t="shared" si="7"/>
        <v>0</v>
      </c>
      <c r="T479" s="44"/>
      <c r="U479" s="44"/>
      <c r="V479" s="44"/>
      <c r="W479" s="44"/>
      <c r="X479" s="44"/>
      <c r="Y479" s="44"/>
      <c r="Z479" s="44"/>
      <c r="AA479" s="44"/>
      <c r="AB479" s="44"/>
      <c r="AC479" s="44"/>
      <c r="AD479" s="44"/>
      <c r="AE479" s="44"/>
      <c r="AF479" s="44"/>
      <c r="AG479" s="44"/>
      <c r="AH479" s="44"/>
      <c r="AI479" s="44"/>
      <c r="AJ479" s="44"/>
      <c r="AK479" s="44"/>
      <c r="AL479" s="44"/>
    </row>
    <row r="480" spans="1:38" ht="15.75" customHeight="1" x14ac:dyDescent="0.25">
      <c r="A480" s="44"/>
      <c r="B480" s="261">
        <v>21</v>
      </c>
      <c r="C480" s="261"/>
      <c r="D480" s="261"/>
      <c r="E480" s="261" t="s">
        <v>744</v>
      </c>
      <c r="F480" s="261"/>
      <c r="G480" s="276"/>
      <c r="H480" s="262"/>
      <c r="I480" s="286"/>
      <c r="J480" s="261"/>
      <c r="K480" s="291"/>
      <c r="L480" s="261"/>
      <c r="M480" s="261"/>
      <c r="N480" s="261"/>
      <c r="O480" s="261"/>
      <c r="P480" s="263"/>
      <c r="Q480" s="263"/>
      <c r="R480" s="44"/>
      <c r="S480" s="49">
        <f t="shared" si="7"/>
        <v>0</v>
      </c>
      <c r="T480" s="44"/>
      <c r="U480" s="44"/>
      <c r="V480" s="44"/>
      <c r="W480" s="44"/>
      <c r="X480" s="44"/>
      <c r="Y480" s="44"/>
      <c r="Z480" s="44"/>
      <c r="AA480" s="44"/>
      <c r="AB480" s="44"/>
      <c r="AC480" s="44"/>
      <c r="AD480" s="44"/>
      <c r="AE480" s="44"/>
      <c r="AF480" s="44"/>
      <c r="AG480" s="44"/>
      <c r="AH480" s="44"/>
      <c r="AI480" s="44"/>
      <c r="AJ480" s="44"/>
      <c r="AK480" s="44"/>
      <c r="AL480" s="44"/>
    </row>
    <row r="481" spans="1:38" ht="15.75" customHeight="1" x14ac:dyDescent="0.25">
      <c r="A481" s="44"/>
      <c r="B481" s="270"/>
      <c r="C481" s="270"/>
      <c r="D481" s="270"/>
      <c r="E481" s="270"/>
      <c r="F481" s="270"/>
      <c r="G481" s="278"/>
      <c r="H481" s="270"/>
      <c r="I481" s="270"/>
      <c r="J481" s="270"/>
      <c r="K481" s="270"/>
      <c r="L481" s="270"/>
      <c r="M481" s="270" t="s">
        <v>313</v>
      </c>
      <c r="N481" s="270"/>
      <c r="O481" s="270"/>
      <c r="P481" s="270"/>
      <c r="Q481" s="270"/>
      <c r="R481" s="44"/>
      <c r="S481" s="45">
        <f>SUM(S20:S480)</f>
        <v>1996637.95</v>
      </c>
      <c r="T481" s="44"/>
      <c r="U481" s="44"/>
      <c r="V481" s="44"/>
      <c r="W481" s="44"/>
      <c r="X481" s="44"/>
      <c r="Y481" s="44"/>
      <c r="Z481" s="44"/>
      <c r="AA481" s="44"/>
      <c r="AB481" s="44"/>
      <c r="AC481" s="44"/>
      <c r="AD481" s="44"/>
      <c r="AE481" s="44"/>
      <c r="AF481" s="44"/>
      <c r="AG481" s="44"/>
      <c r="AH481" s="44"/>
      <c r="AI481" s="44"/>
      <c r="AJ481" s="44"/>
      <c r="AK481" s="44"/>
      <c r="AL481" s="44"/>
    </row>
    <row r="482" spans="1:38" ht="15.75" customHeight="1" x14ac:dyDescent="0.25">
      <c r="A482" s="44"/>
      <c r="B482" s="271"/>
      <c r="C482" s="271"/>
      <c r="D482" s="271"/>
      <c r="E482" s="271"/>
      <c r="F482" s="271"/>
      <c r="G482" s="279"/>
      <c r="H482" s="271"/>
      <c r="I482" s="271"/>
      <c r="J482" s="271"/>
      <c r="K482" s="271"/>
      <c r="L482" s="271"/>
      <c r="M482" s="271"/>
      <c r="N482" s="271"/>
      <c r="O482" s="271"/>
      <c r="P482" s="271"/>
      <c r="Q482" s="271"/>
      <c r="R482" s="44"/>
      <c r="S482" s="44"/>
      <c r="T482" s="44"/>
      <c r="U482" s="44"/>
      <c r="V482" s="44"/>
      <c r="W482" s="44"/>
      <c r="X482" s="44"/>
      <c r="Y482" s="44"/>
      <c r="Z482" s="44"/>
      <c r="AA482" s="44"/>
      <c r="AB482" s="44"/>
      <c r="AC482" s="44"/>
      <c r="AD482" s="44"/>
      <c r="AE482" s="44"/>
      <c r="AF482" s="44"/>
      <c r="AG482" s="44"/>
      <c r="AH482" s="44"/>
      <c r="AI482" s="44"/>
      <c r="AJ482" s="44"/>
      <c r="AK482" s="44"/>
      <c r="AL482" s="44"/>
    </row>
    <row r="483" spans="1:38" ht="15.75" customHeight="1" x14ac:dyDescent="0.25">
      <c r="A483" s="44"/>
      <c r="B483" s="357"/>
      <c r="C483" s="357"/>
      <c r="D483" s="357"/>
      <c r="E483" s="272"/>
      <c r="F483" s="270"/>
      <c r="G483" s="278"/>
      <c r="H483" s="270"/>
      <c r="I483" s="270"/>
      <c r="J483" s="270"/>
      <c r="K483" s="270"/>
      <c r="L483" s="270"/>
      <c r="M483" s="358" t="s">
        <v>314</v>
      </c>
      <c r="N483" s="357"/>
      <c r="O483" s="359">
        <f>S481</f>
        <v>1996637.95</v>
      </c>
      <c r="P483" s="357"/>
      <c r="Q483" s="357"/>
      <c r="R483" s="325">
        <f>O483/O485</f>
        <v>0.78959999999999997</v>
      </c>
      <c r="S483" s="44"/>
      <c r="T483" s="44"/>
      <c r="U483" s="44"/>
      <c r="V483" s="44"/>
      <c r="W483" s="44"/>
      <c r="X483" s="44"/>
      <c r="Y483" s="44"/>
      <c r="Z483" s="44"/>
      <c r="AA483" s="44"/>
      <c r="AB483" s="44"/>
      <c r="AC483" s="44"/>
      <c r="AD483" s="44"/>
      <c r="AE483" s="44"/>
      <c r="AF483" s="44"/>
      <c r="AG483" s="44"/>
      <c r="AH483" s="44"/>
      <c r="AI483" s="44"/>
      <c r="AJ483" s="44"/>
      <c r="AK483" s="44"/>
      <c r="AL483" s="44"/>
    </row>
    <row r="484" spans="1:38" ht="15.75" customHeight="1" x14ac:dyDescent="0.25">
      <c r="A484" s="44"/>
      <c r="B484" s="357"/>
      <c r="C484" s="357"/>
      <c r="D484" s="357"/>
      <c r="E484" s="272"/>
      <c r="F484" s="270"/>
      <c r="G484" s="278"/>
      <c r="H484" s="270"/>
      <c r="I484" s="270"/>
      <c r="J484" s="270"/>
      <c r="K484" s="270"/>
      <c r="L484" s="270"/>
      <c r="M484" s="358" t="s">
        <v>315</v>
      </c>
      <c r="N484" s="357"/>
      <c r="O484" s="359">
        <f>O485-O483</f>
        <v>531997.69999999995</v>
      </c>
      <c r="P484" s="357"/>
      <c r="Q484" s="357"/>
      <c r="R484" s="325">
        <f>O484/O485</f>
        <v>0.2104</v>
      </c>
      <c r="S484" s="44"/>
      <c r="T484" s="44"/>
      <c r="U484" s="44"/>
      <c r="V484" s="44"/>
      <c r="W484" s="44"/>
      <c r="X484" s="44"/>
      <c r="Y484" s="44"/>
      <c r="Z484" s="44"/>
      <c r="AA484" s="44"/>
      <c r="AB484" s="44"/>
      <c r="AC484" s="44"/>
      <c r="AD484" s="44"/>
      <c r="AE484" s="44"/>
      <c r="AF484" s="44"/>
      <c r="AG484" s="44"/>
      <c r="AH484" s="44"/>
      <c r="AI484" s="44"/>
      <c r="AJ484" s="44"/>
      <c r="AK484" s="44"/>
      <c r="AL484" s="44"/>
    </row>
    <row r="485" spans="1:38" ht="15.75" customHeight="1" x14ac:dyDescent="0.25">
      <c r="A485" s="44"/>
      <c r="B485" s="357"/>
      <c r="C485" s="357"/>
      <c r="D485" s="357"/>
      <c r="E485" s="272"/>
      <c r="F485" s="270"/>
      <c r="G485" s="278"/>
      <c r="H485" s="270"/>
      <c r="I485" s="270"/>
      <c r="J485" s="270"/>
      <c r="K485" s="270"/>
      <c r="L485" s="270"/>
      <c r="M485" s="383" t="s">
        <v>316</v>
      </c>
      <c r="N485" s="384"/>
      <c r="O485" s="385">
        <f>SUM(P20:P480)</f>
        <v>2528635.65</v>
      </c>
      <c r="P485" s="384"/>
      <c r="Q485" s="384"/>
      <c r="R485" s="44"/>
      <c r="S485" s="44"/>
      <c r="T485" s="44"/>
      <c r="U485" s="44"/>
      <c r="V485" s="44"/>
      <c r="W485" s="44"/>
      <c r="X485" s="44"/>
      <c r="Y485" s="44"/>
      <c r="Z485" s="44"/>
      <c r="AA485" s="44"/>
      <c r="AB485" s="44"/>
      <c r="AC485" s="44"/>
      <c r="AD485" s="44"/>
      <c r="AE485" s="44"/>
      <c r="AF485" s="44"/>
      <c r="AG485" s="44"/>
      <c r="AH485" s="44"/>
      <c r="AI485" s="44"/>
      <c r="AJ485" s="44"/>
      <c r="AK485" s="44"/>
      <c r="AL485" s="44"/>
    </row>
    <row r="486" spans="1:38" ht="15.75" customHeight="1" x14ac:dyDescent="0.25">
      <c r="A486" s="44"/>
      <c r="B486" s="357"/>
      <c r="C486" s="357"/>
      <c r="D486" s="357"/>
      <c r="E486" s="272"/>
      <c r="F486" s="270"/>
      <c r="G486" s="278"/>
      <c r="H486" s="270"/>
      <c r="I486" s="270"/>
      <c r="J486" s="270"/>
      <c r="K486" s="270"/>
      <c r="L486" s="270"/>
      <c r="M486" s="358"/>
      <c r="N486" s="357"/>
      <c r="O486" s="359"/>
      <c r="P486" s="357"/>
      <c r="Q486" s="357"/>
      <c r="R486" s="44"/>
      <c r="S486" s="44"/>
      <c r="T486" s="44"/>
      <c r="U486" s="44"/>
      <c r="V486" s="44"/>
      <c r="W486" s="44"/>
      <c r="X486" s="44"/>
      <c r="Y486" s="44"/>
      <c r="Z486" s="44"/>
      <c r="AA486" s="44"/>
      <c r="AB486" s="44"/>
      <c r="AC486" s="44"/>
      <c r="AD486" s="44"/>
      <c r="AE486" s="44"/>
      <c r="AF486" s="44"/>
      <c r="AG486" s="44"/>
      <c r="AH486" s="44"/>
      <c r="AI486" s="44"/>
      <c r="AJ486" s="44"/>
      <c r="AK486" s="44"/>
      <c r="AL486" s="44"/>
    </row>
    <row r="487" spans="1:38" ht="15.75" customHeight="1" x14ac:dyDescent="0.25">
      <c r="A487" s="44"/>
      <c r="B487" s="357"/>
      <c r="C487" s="357"/>
      <c r="D487" s="357"/>
      <c r="E487" s="272"/>
      <c r="F487" s="270"/>
      <c r="G487" s="278"/>
      <c r="H487" s="270"/>
      <c r="I487" s="270"/>
      <c r="J487" s="270"/>
      <c r="K487" s="270"/>
      <c r="L487" s="270"/>
      <c r="M487" s="358"/>
      <c r="N487" s="357"/>
      <c r="O487" s="359"/>
      <c r="P487" s="357"/>
      <c r="Q487" s="357"/>
      <c r="R487" s="44"/>
      <c r="S487" s="44"/>
      <c r="T487" s="44"/>
      <c r="U487" s="44"/>
      <c r="V487" s="44"/>
      <c r="W487" s="44"/>
      <c r="X487" s="44"/>
      <c r="Y487" s="44"/>
      <c r="Z487" s="44"/>
      <c r="AA487" s="44"/>
      <c r="AB487" s="44"/>
      <c r="AC487" s="44"/>
      <c r="AD487" s="44"/>
      <c r="AE487" s="44"/>
      <c r="AF487" s="44"/>
      <c r="AG487" s="44"/>
      <c r="AH487" s="44"/>
      <c r="AI487" s="44"/>
      <c r="AJ487" s="44"/>
      <c r="AK487" s="44"/>
      <c r="AL487" s="44"/>
    </row>
    <row r="488" spans="1:38" ht="15.75" customHeight="1" x14ac:dyDescent="0.25">
      <c r="A488" s="44"/>
      <c r="B488" s="357"/>
      <c r="C488" s="357"/>
      <c r="D488" s="357"/>
      <c r="E488" s="272"/>
      <c r="F488" s="270"/>
      <c r="G488" s="278"/>
      <c r="H488" s="270"/>
      <c r="I488" s="270"/>
      <c r="J488" s="270"/>
      <c r="K488" s="270"/>
      <c r="L488" s="270"/>
      <c r="M488" s="358"/>
      <c r="N488" s="357"/>
      <c r="O488" s="359"/>
      <c r="P488" s="357"/>
      <c r="Q488" s="357"/>
      <c r="R488" s="44"/>
      <c r="S488" s="44"/>
      <c r="T488" s="44"/>
      <c r="U488" s="44"/>
      <c r="V488" s="44"/>
      <c r="W488" s="44"/>
      <c r="X488" s="44"/>
      <c r="Y488" s="44"/>
      <c r="Z488" s="44"/>
      <c r="AA488" s="44"/>
      <c r="AB488" s="44"/>
      <c r="AC488" s="44"/>
      <c r="AD488" s="44"/>
      <c r="AE488" s="44"/>
      <c r="AF488" s="44"/>
      <c r="AG488" s="44"/>
      <c r="AH488" s="44"/>
      <c r="AI488" s="44"/>
      <c r="AJ488" s="44"/>
      <c r="AK488" s="44"/>
      <c r="AL488" s="44"/>
    </row>
    <row r="489" spans="1:38" ht="15.75" customHeight="1" x14ac:dyDescent="0.25">
      <c r="A489" s="44"/>
      <c r="B489" s="44"/>
      <c r="C489" s="44"/>
      <c r="D489" s="44"/>
      <c r="E489" s="44"/>
      <c r="F489" s="44"/>
      <c r="G489" s="205"/>
      <c r="H489" s="44"/>
      <c r="I489" s="44"/>
      <c r="J489" s="44"/>
      <c r="K489" s="44"/>
      <c r="L489" s="44"/>
      <c r="M489" s="44"/>
      <c r="N489" s="44"/>
      <c r="O489" s="44"/>
      <c r="P489" s="44"/>
      <c r="Q489" s="44"/>
      <c r="R489" s="44"/>
      <c r="S489" s="44"/>
      <c r="T489" s="44"/>
      <c r="U489" s="44"/>
      <c r="V489" s="44"/>
      <c r="W489" s="44"/>
      <c r="X489" s="44"/>
      <c r="Y489" s="44"/>
      <c r="Z489" s="44"/>
      <c r="AA489" s="44"/>
      <c r="AB489" s="44"/>
      <c r="AC489" s="44"/>
      <c r="AD489" s="44"/>
      <c r="AE489" s="44"/>
      <c r="AF489" s="44"/>
      <c r="AG489" s="44"/>
      <c r="AH489" s="44"/>
      <c r="AI489" s="44"/>
      <c r="AJ489" s="44"/>
      <c r="AK489" s="44"/>
      <c r="AL489" s="44"/>
    </row>
    <row r="490" spans="1:38" ht="15.75" customHeight="1" x14ac:dyDescent="0.25">
      <c r="A490" s="44"/>
      <c r="B490" s="44"/>
      <c r="C490" s="44"/>
      <c r="D490" s="44"/>
      <c r="E490" s="44"/>
      <c r="F490" s="44"/>
      <c r="G490" s="205"/>
      <c r="H490" s="44"/>
      <c r="I490" s="44"/>
      <c r="J490" s="44"/>
      <c r="K490" s="44"/>
      <c r="L490" s="44"/>
      <c r="M490" s="44"/>
      <c r="N490" s="44"/>
      <c r="O490" s="44"/>
      <c r="P490" s="44"/>
      <c r="Q490" s="44"/>
      <c r="R490" s="44"/>
      <c r="S490" s="44"/>
      <c r="T490" s="44"/>
      <c r="U490" s="44"/>
      <c r="V490" s="44"/>
      <c r="W490" s="44"/>
      <c r="X490" s="44"/>
      <c r="Y490" s="44"/>
      <c r="Z490" s="44"/>
      <c r="AA490" s="44"/>
      <c r="AB490" s="44"/>
      <c r="AC490" s="44"/>
      <c r="AD490" s="44"/>
      <c r="AE490" s="44"/>
      <c r="AF490" s="44"/>
      <c r="AG490" s="44"/>
      <c r="AH490" s="44"/>
      <c r="AI490" s="44"/>
      <c r="AJ490" s="44"/>
      <c r="AK490" s="44"/>
      <c r="AL490" s="44"/>
    </row>
    <row r="491" spans="1:38" ht="15.75" customHeight="1" x14ac:dyDescent="0.25">
      <c r="A491" s="44"/>
      <c r="B491" s="44"/>
      <c r="C491" s="44"/>
      <c r="D491" s="44"/>
      <c r="E491" s="44"/>
      <c r="F491" s="44"/>
      <c r="G491" s="205"/>
      <c r="H491" s="44"/>
      <c r="I491" s="44"/>
      <c r="J491" s="44"/>
      <c r="K491" s="44"/>
      <c r="L491" s="44"/>
      <c r="M491" s="44"/>
      <c r="N491" s="44"/>
      <c r="O491" s="44"/>
      <c r="P491" s="44"/>
      <c r="Q491" s="44"/>
      <c r="R491" s="44"/>
      <c r="S491" s="44"/>
      <c r="T491" s="44"/>
      <c r="U491" s="44"/>
      <c r="V491" s="44"/>
      <c r="W491" s="44"/>
      <c r="X491" s="44"/>
      <c r="Y491" s="44"/>
      <c r="Z491" s="44"/>
      <c r="AA491" s="44"/>
      <c r="AB491" s="44"/>
      <c r="AC491" s="44"/>
      <c r="AD491" s="44"/>
      <c r="AE491" s="44"/>
      <c r="AF491" s="44"/>
      <c r="AG491" s="44"/>
      <c r="AH491" s="44"/>
      <c r="AI491" s="44"/>
      <c r="AJ491" s="44"/>
      <c r="AK491" s="44"/>
      <c r="AL491" s="44"/>
    </row>
    <row r="492" spans="1:38" ht="15.75" customHeight="1" x14ac:dyDescent="0.25">
      <c r="A492" s="44"/>
      <c r="B492" s="44"/>
      <c r="C492" s="44"/>
      <c r="D492" s="44"/>
      <c r="E492" s="44"/>
      <c r="F492" s="44"/>
      <c r="G492" s="205"/>
      <c r="H492" s="44"/>
      <c r="I492" s="44"/>
      <c r="J492" s="44"/>
      <c r="K492" s="44"/>
      <c r="L492" s="44"/>
      <c r="M492" s="44"/>
      <c r="N492" s="44"/>
      <c r="O492" s="44"/>
      <c r="P492" s="44"/>
      <c r="Q492" s="44"/>
      <c r="R492" s="44"/>
      <c r="S492" s="44"/>
      <c r="T492" s="44"/>
      <c r="U492" s="44"/>
      <c r="V492" s="44"/>
      <c r="W492" s="44"/>
      <c r="X492" s="44"/>
      <c r="Y492" s="44"/>
      <c r="Z492" s="44"/>
      <c r="AA492" s="44"/>
      <c r="AB492" s="44"/>
      <c r="AC492" s="44"/>
      <c r="AD492" s="44"/>
      <c r="AE492" s="44"/>
      <c r="AF492" s="44"/>
      <c r="AG492" s="44"/>
      <c r="AH492" s="44"/>
      <c r="AI492" s="44"/>
      <c r="AJ492" s="44"/>
      <c r="AK492" s="44"/>
      <c r="AL492" s="44"/>
    </row>
    <row r="493" spans="1:38" ht="15.75" customHeight="1" x14ac:dyDescent="0.25">
      <c r="A493" s="44"/>
      <c r="B493" s="44"/>
      <c r="C493" s="44"/>
      <c r="D493" s="44"/>
      <c r="E493" s="44"/>
      <c r="F493" s="44"/>
      <c r="G493" s="205"/>
      <c r="H493" s="44"/>
      <c r="I493" s="44"/>
      <c r="J493" s="44"/>
      <c r="K493" s="44"/>
      <c r="L493" s="44"/>
      <c r="M493" s="44"/>
      <c r="N493" s="44"/>
      <c r="O493" s="44"/>
      <c r="P493" s="44"/>
      <c r="Q493" s="44"/>
      <c r="R493" s="44"/>
      <c r="S493" s="44"/>
      <c r="T493" s="44"/>
      <c r="U493" s="44"/>
      <c r="V493" s="44"/>
      <c r="W493" s="44"/>
      <c r="X493" s="44"/>
      <c r="Y493" s="44"/>
      <c r="Z493" s="44"/>
      <c r="AA493" s="44"/>
      <c r="AB493" s="44"/>
      <c r="AC493" s="44"/>
      <c r="AD493" s="44"/>
      <c r="AE493" s="44"/>
      <c r="AF493" s="44"/>
      <c r="AG493" s="44"/>
      <c r="AH493" s="44"/>
      <c r="AI493" s="44"/>
      <c r="AJ493" s="44"/>
      <c r="AK493" s="44"/>
      <c r="AL493" s="44"/>
    </row>
    <row r="494" spans="1:38" ht="15.75" customHeight="1" x14ac:dyDescent="0.25">
      <c r="A494" s="44"/>
      <c r="B494" s="44"/>
      <c r="C494" s="44"/>
      <c r="D494" s="44"/>
      <c r="E494" s="44"/>
      <c r="F494" s="44"/>
      <c r="G494" s="205"/>
      <c r="H494" s="44"/>
      <c r="I494" s="44"/>
      <c r="J494" s="44"/>
      <c r="K494" s="44"/>
      <c r="L494" s="44"/>
      <c r="M494" s="44"/>
      <c r="N494" s="44"/>
      <c r="O494" s="44"/>
      <c r="P494" s="44"/>
      <c r="Q494" s="44"/>
      <c r="R494" s="44"/>
      <c r="S494" s="44"/>
      <c r="T494" s="44"/>
      <c r="U494" s="44"/>
      <c r="V494" s="44"/>
      <c r="W494" s="44"/>
      <c r="X494" s="44"/>
      <c r="Y494" s="44"/>
      <c r="Z494" s="44"/>
      <c r="AA494" s="44"/>
      <c r="AB494" s="44"/>
      <c r="AC494" s="44"/>
      <c r="AD494" s="44"/>
      <c r="AE494" s="44"/>
      <c r="AF494" s="44"/>
      <c r="AG494" s="44"/>
      <c r="AH494" s="44"/>
      <c r="AI494" s="44"/>
      <c r="AJ494" s="44"/>
      <c r="AK494" s="44"/>
      <c r="AL494" s="44"/>
    </row>
    <row r="495" spans="1:38" ht="15.75" customHeight="1" x14ac:dyDescent="0.25">
      <c r="A495" s="44"/>
      <c r="B495" s="44"/>
      <c r="C495" s="44"/>
      <c r="D495" s="44"/>
      <c r="E495" s="44"/>
      <c r="F495" s="44"/>
      <c r="G495" s="205"/>
      <c r="H495" s="44"/>
      <c r="I495" s="44"/>
      <c r="J495" s="44"/>
      <c r="K495" s="44"/>
      <c r="L495" s="44"/>
      <c r="M495" s="44"/>
      <c r="N495" s="44"/>
      <c r="O495" s="44"/>
      <c r="P495" s="44"/>
      <c r="Q495" s="44"/>
      <c r="R495" s="44"/>
      <c r="S495" s="44"/>
      <c r="T495" s="44"/>
      <c r="U495" s="44"/>
      <c r="V495" s="44"/>
      <c r="W495" s="44"/>
      <c r="X495" s="44"/>
      <c r="Y495" s="44"/>
      <c r="Z495" s="44"/>
      <c r="AA495" s="44"/>
      <c r="AB495" s="44"/>
      <c r="AC495" s="44"/>
      <c r="AD495" s="44"/>
      <c r="AE495" s="44"/>
      <c r="AF495" s="44"/>
      <c r="AG495" s="44"/>
      <c r="AH495" s="44"/>
      <c r="AI495" s="44"/>
      <c r="AJ495" s="44"/>
      <c r="AK495" s="44"/>
      <c r="AL495" s="44"/>
    </row>
    <row r="496" spans="1:38" ht="15.75" customHeight="1" x14ac:dyDescent="0.25">
      <c r="A496" s="44"/>
      <c r="B496" s="44"/>
      <c r="C496" s="44"/>
      <c r="D496" s="44"/>
      <c r="E496" s="44"/>
      <c r="F496" s="44"/>
      <c r="G496" s="205"/>
      <c r="H496" s="44"/>
      <c r="I496" s="44"/>
      <c r="J496" s="44"/>
      <c r="K496" s="44"/>
      <c r="L496" s="44"/>
      <c r="M496" s="44"/>
      <c r="N496" s="44"/>
      <c r="O496" s="44"/>
      <c r="P496" s="44"/>
      <c r="Q496" s="44"/>
      <c r="R496" s="44"/>
      <c r="S496" s="44"/>
      <c r="T496" s="44"/>
      <c r="U496" s="44"/>
      <c r="V496" s="44"/>
      <c r="W496" s="44"/>
      <c r="X496" s="44"/>
      <c r="Y496" s="44"/>
      <c r="Z496" s="44"/>
      <c r="AA496" s="44"/>
      <c r="AB496" s="44"/>
      <c r="AC496" s="44"/>
      <c r="AD496" s="44"/>
      <c r="AE496" s="44"/>
      <c r="AF496" s="44"/>
      <c r="AG496" s="44"/>
      <c r="AH496" s="44"/>
      <c r="AI496" s="44"/>
      <c r="AJ496" s="44"/>
      <c r="AK496" s="44"/>
      <c r="AL496" s="44"/>
    </row>
    <row r="497" spans="1:38" ht="15.75" customHeight="1" x14ac:dyDescent="0.25">
      <c r="A497" s="44"/>
      <c r="B497" s="44"/>
      <c r="C497" s="44"/>
      <c r="D497" s="44"/>
      <c r="E497" s="44"/>
      <c r="F497" s="44"/>
      <c r="G497" s="205"/>
      <c r="H497" s="44"/>
      <c r="I497" s="44"/>
      <c r="J497" s="44"/>
      <c r="K497" s="44"/>
      <c r="L497" s="44"/>
      <c r="M497" s="44"/>
      <c r="N497" s="44"/>
      <c r="O497" s="44"/>
      <c r="P497" s="44"/>
      <c r="Q497" s="44"/>
      <c r="R497" s="44"/>
      <c r="S497" s="44"/>
      <c r="T497" s="44"/>
      <c r="U497" s="44"/>
      <c r="V497" s="44"/>
      <c r="W497" s="44"/>
      <c r="X497" s="44"/>
      <c r="Y497" s="44"/>
      <c r="Z497" s="44"/>
      <c r="AA497" s="44"/>
      <c r="AB497" s="44"/>
      <c r="AC497" s="44"/>
      <c r="AD497" s="44"/>
      <c r="AE497" s="44"/>
      <c r="AF497" s="44"/>
      <c r="AG497" s="44"/>
      <c r="AH497" s="44"/>
      <c r="AI497" s="44"/>
      <c r="AJ497" s="44"/>
      <c r="AK497" s="44"/>
      <c r="AL497" s="44"/>
    </row>
    <row r="498" spans="1:38" ht="15.75" customHeight="1" x14ac:dyDescent="0.25">
      <c r="A498" s="44"/>
      <c r="B498" s="44"/>
      <c r="C498" s="44"/>
      <c r="D498" s="44"/>
      <c r="E498" s="44"/>
      <c r="F498" s="44"/>
      <c r="G498" s="205"/>
      <c r="H498" s="44"/>
      <c r="I498" s="44"/>
      <c r="J498" s="44"/>
      <c r="K498" s="44"/>
      <c r="L498" s="44"/>
      <c r="M498" s="44"/>
      <c r="N498" s="44"/>
      <c r="O498" s="44"/>
      <c r="P498" s="44"/>
      <c r="Q498" s="44"/>
      <c r="R498" s="44"/>
      <c r="S498" s="44"/>
      <c r="T498" s="44"/>
      <c r="U498" s="44"/>
      <c r="V498" s="44"/>
      <c r="W498" s="44"/>
      <c r="X498" s="44"/>
      <c r="Y498" s="44"/>
      <c r="Z498" s="44"/>
      <c r="AA498" s="44"/>
      <c r="AB498" s="44"/>
      <c r="AC498" s="44"/>
      <c r="AD498" s="44"/>
      <c r="AE498" s="44"/>
      <c r="AF498" s="44"/>
      <c r="AG498" s="44"/>
      <c r="AH498" s="44"/>
      <c r="AI498" s="44"/>
      <c r="AJ498" s="44"/>
      <c r="AK498" s="44"/>
      <c r="AL498" s="44"/>
    </row>
    <row r="499" spans="1:38" ht="15.75" customHeight="1" x14ac:dyDescent="0.25">
      <c r="A499" s="44"/>
      <c r="B499" s="44"/>
      <c r="C499" s="44"/>
      <c r="D499" s="44"/>
      <c r="E499" s="44"/>
      <c r="F499" s="44"/>
      <c r="G499" s="205"/>
      <c r="H499" s="44"/>
      <c r="I499" s="44"/>
      <c r="J499" s="44"/>
      <c r="K499" s="44"/>
      <c r="L499" s="44"/>
      <c r="M499" s="44"/>
      <c r="N499" s="44"/>
      <c r="O499" s="44"/>
      <c r="P499" s="44"/>
      <c r="Q499" s="44"/>
      <c r="R499" s="44"/>
      <c r="S499" s="44"/>
      <c r="T499" s="44"/>
      <c r="U499" s="44"/>
      <c r="V499" s="44"/>
      <c r="W499" s="44"/>
      <c r="X499" s="44"/>
      <c r="Y499" s="44"/>
      <c r="Z499" s="44"/>
      <c r="AA499" s="44"/>
      <c r="AB499" s="44"/>
      <c r="AC499" s="44"/>
      <c r="AD499" s="44"/>
      <c r="AE499" s="44"/>
      <c r="AF499" s="44"/>
      <c r="AG499" s="44"/>
      <c r="AH499" s="44"/>
      <c r="AI499" s="44"/>
      <c r="AJ499" s="44"/>
      <c r="AK499" s="44"/>
      <c r="AL499" s="44"/>
    </row>
    <row r="500" spans="1:38" ht="15.75" customHeight="1" x14ac:dyDescent="0.25">
      <c r="A500" s="44"/>
      <c r="B500" s="44"/>
      <c r="C500" s="44"/>
      <c r="D500" s="44"/>
      <c r="E500" s="44"/>
      <c r="F500" s="44"/>
      <c r="G500" s="205"/>
      <c r="H500" s="44"/>
      <c r="I500" s="44"/>
      <c r="J500" s="44"/>
      <c r="K500" s="44"/>
      <c r="L500" s="44"/>
      <c r="M500" s="44"/>
      <c r="N500" s="44"/>
      <c r="O500" s="44"/>
      <c r="P500" s="44"/>
      <c r="Q500" s="44"/>
      <c r="R500" s="44"/>
      <c r="S500" s="44"/>
      <c r="T500" s="44"/>
      <c r="U500" s="44"/>
      <c r="V500" s="44"/>
      <c r="W500" s="44"/>
      <c r="X500" s="44"/>
      <c r="Y500" s="44"/>
      <c r="Z500" s="44"/>
      <c r="AA500" s="44"/>
      <c r="AB500" s="44"/>
      <c r="AC500" s="44"/>
      <c r="AD500" s="44"/>
      <c r="AE500" s="44"/>
      <c r="AF500" s="44"/>
      <c r="AG500" s="44"/>
      <c r="AH500" s="44"/>
      <c r="AI500" s="44"/>
      <c r="AJ500" s="44"/>
      <c r="AK500" s="44"/>
      <c r="AL500" s="44"/>
    </row>
    <row r="501" spans="1:38" ht="15.75" customHeight="1" x14ac:dyDescent="0.25">
      <c r="A501" s="44"/>
      <c r="B501" s="44"/>
      <c r="C501" s="44"/>
      <c r="D501" s="44"/>
      <c r="E501" s="44"/>
      <c r="F501" s="44"/>
      <c r="G501" s="205"/>
      <c r="H501" s="44"/>
      <c r="I501" s="44"/>
      <c r="J501" s="44"/>
      <c r="K501" s="44"/>
      <c r="L501" s="44"/>
      <c r="M501" s="44"/>
      <c r="N501" s="44"/>
      <c r="O501" s="44"/>
      <c r="P501" s="44"/>
      <c r="Q501" s="44"/>
      <c r="R501" s="44"/>
      <c r="S501" s="44"/>
      <c r="T501" s="44"/>
      <c r="U501" s="44"/>
      <c r="V501" s="44"/>
      <c r="W501" s="44"/>
      <c r="X501" s="44"/>
      <c r="Y501" s="44"/>
      <c r="Z501" s="44"/>
      <c r="AA501" s="44"/>
      <c r="AB501" s="44"/>
      <c r="AC501" s="44"/>
      <c r="AD501" s="44"/>
      <c r="AE501" s="44"/>
      <c r="AF501" s="44"/>
      <c r="AG501" s="44"/>
      <c r="AH501" s="44"/>
      <c r="AI501" s="44"/>
      <c r="AJ501" s="44"/>
      <c r="AK501" s="44"/>
      <c r="AL501" s="44"/>
    </row>
    <row r="502" spans="1:38" ht="15.75" customHeight="1" x14ac:dyDescent="0.25">
      <c r="A502" s="44"/>
      <c r="B502" s="44"/>
      <c r="C502" s="44"/>
      <c r="D502" s="44"/>
      <c r="E502" s="44"/>
      <c r="F502" s="44"/>
      <c r="G502" s="205"/>
      <c r="H502" s="44"/>
      <c r="I502" s="44"/>
      <c r="J502" s="44"/>
      <c r="K502" s="44"/>
      <c r="L502" s="44"/>
      <c r="M502" s="44"/>
      <c r="N502" s="44"/>
      <c r="O502" s="44"/>
      <c r="P502" s="44"/>
      <c r="Q502" s="44"/>
      <c r="R502" s="44"/>
      <c r="S502" s="44"/>
      <c r="T502" s="44"/>
      <c r="U502" s="44"/>
      <c r="V502" s="44"/>
      <c r="W502" s="44"/>
      <c r="X502" s="44"/>
      <c r="Y502" s="44"/>
      <c r="Z502" s="44"/>
      <c r="AA502" s="44"/>
      <c r="AB502" s="44"/>
      <c r="AC502" s="44"/>
      <c r="AD502" s="44"/>
      <c r="AE502" s="44"/>
      <c r="AF502" s="44"/>
      <c r="AG502" s="44"/>
      <c r="AH502" s="44"/>
      <c r="AI502" s="44"/>
      <c r="AJ502" s="44"/>
      <c r="AK502" s="44"/>
      <c r="AL502" s="44"/>
    </row>
    <row r="503" spans="1:38" ht="15.75" customHeight="1" x14ac:dyDescent="0.25">
      <c r="A503" s="44"/>
      <c r="B503" s="44"/>
      <c r="C503" s="44"/>
      <c r="D503" s="44"/>
      <c r="E503" s="44"/>
      <c r="F503" s="44"/>
      <c r="G503" s="205"/>
      <c r="H503" s="44"/>
      <c r="I503" s="44"/>
      <c r="J503" s="44"/>
      <c r="K503" s="44"/>
      <c r="L503" s="44"/>
      <c r="M503" s="44"/>
      <c r="N503" s="44"/>
      <c r="O503" s="44"/>
      <c r="P503" s="44"/>
      <c r="Q503" s="44"/>
      <c r="R503" s="44"/>
      <c r="S503" s="44"/>
      <c r="T503" s="44"/>
      <c r="U503" s="44"/>
      <c r="V503" s="44"/>
      <c r="W503" s="44"/>
      <c r="X503" s="44"/>
      <c r="Y503" s="44"/>
      <c r="Z503" s="44"/>
      <c r="AA503" s="44"/>
      <c r="AB503" s="44"/>
      <c r="AC503" s="44"/>
      <c r="AD503" s="44"/>
      <c r="AE503" s="44"/>
      <c r="AF503" s="44"/>
      <c r="AG503" s="44"/>
      <c r="AH503" s="44"/>
      <c r="AI503" s="44"/>
      <c r="AJ503" s="44"/>
      <c r="AK503" s="44"/>
      <c r="AL503" s="44"/>
    </row>
    <row r="504" spans="1:38" ht="15.75" customHeight="1" x14ac:dyDescent="0.25">
      <c r="A504" s="44"/>
      <c r="B504" s="44"/>
      <c r="C504" s="44"/>
      <c r="D504" s="44"/>
      <c r="E504" s="44"/>
      <c r="F504" s="44"/>
      <c r="G504" s="205"/>
      <c r="H504" s="44"/>
      <c r="I504" s="44"/>
      <c r="J504" s="44"/>
      <c r="K504" s="44"/>
      <c r="L504" s="44"/>
      <c r="M504" s="44"/>
      <c r="N504" s="44"/>
      <c r="O504" s="44"/>
      <c r="P504" s="44"/>
      <c r="Q504" s="44"/>
      <c r="R504" s="44"/>
      <c r="S504" s="44"/>
      <c r="T504" s="44"/>
      <c r="U504" s="44"/>
      <c r="V504" s="44"/>
      <c r="W504" s="44"/>
      <c r="X504" s="44"/>
      <c r="Y504" s="44"/>
      <c r="Z504" s="44"/>
      <c r="AA504" s="44"/>
      <c r="AB504" s="44"/>
      <c r="AC504" s="44"/>
      <c r="AD504" s="44"/>
      <c r="AE504" s="44"/>
      <c r="AF504" s="44"/>
      <c r="AG504" s="44"/>
      <c r="AH504" s="44"/>
      <c r="AI504" s="44"/>
      <c r="AJ504" s="44"/>
      <c r="AK504" s="44"/>
      <c r="AL504" s="44"/>
    </row>
    <row r="505" spans="1:38" ht="15.75" customHeight="1" x14ac:dyDescent="0.25">
      <c r="A505" s="44"/>
      <c r="B505" s="44"/>
      <c r="C505" s="44"/>
      <c r="D505" s="44"/>
      <c r="E505" s="44"/>
      <c r="F505" s="44"/>
      <c r="G505" s="205"/>
      <c r="H505" s="44"/>
      <c r="I505" s="44"/>
      <c r="J505" s="44"/>
      <c r="K505" s="44"/>
      <c r="L505" s="44"/>
      <c r="M505" s="44"/>
      <c r="N505" s="44"/>
      <c r="O505" s="44"/>
      <c r="P505" s="44"/>
      <c r="Q505" s="44"/>
      <c r="R505" s="44"/>
      <c r="S505" s="44"/>
      <c r="T505" s="44"/>
      <c r="U505" s="44"/>
      <c r="V505" s="44"/>
      <c r="W505" s="44"/>
      <c r="X505" s="44"/>
      <c r="Y505" s="44"/>
      <c r="Z505" s="44"/>
      <c r="AA505" s="44"/>
      <c r="AB505" s="44"/>
      <c r="AC505" s="44"/>
      <c r="AD505" s="44"/>
      <c r="AE505" s="44"/>
      <c r="AF505" s="44"/>
      <c r="AG505" s="44"/>
      <c r="AH505" s="44"/>
      <c r="AI505" s="44"/>
      <c r="AJ505" s="44"/>
      <c r="AK505" s="44"/>
      <c r="AL505" s="44"/>
    </row>
    <row r="506" spans="1:38" ht="15.75" customHeight="1" x14ac:dyDescent="0.25">
      <c r="A506" s="44"/>
      <c r="B506" s="44"/>
      <c r="C506" s="44"/>
      <c r="D506" s="44"/>
      <c r="E506" s="44"/>
      <c r="F506" s="44"/>
      <c r="G506" s="205"/>
      <c r="H506" s="44"/>
      <c r="I506" s="44"/>
      <c r="J506" s="44"/>
      <c r="K506" s="44"/>
      <c r="L506" s="44"/>
      <c r="M506" s="44"/>
      <c r="N506" s="44"/>
      <c r="O506" s="44"/>
      <c r="P506" s="44"/>
      <c r="Q506" s="44"/>
      <c r="R506" s="44"/>
      <c r="S506" s="44"/>
      <c r="T506" s="44"/>
      <c r="U506" s="44"/>
      <c r="V506" s="44"/>
      <c r="W506" s="44"/>
      <c r="X506" s="44"/>
      <c r="Y506" s="44"/>
      <c r="Z506" s="44"/>
      <c r="AA506" s="44"/>
      <c r="AB506" s="44"/>
      <c r="AC506" s="44"/>
      <c r="AD506" s="44"/>
      <c r="AE506" s="44"/>
      <c r="AF506" s="44"/>
      <c r="AG506" s="44"/>
      <c r="AH506" s="44"/>
      <c r="AI506" s="44"/>
      <c r="AJ506" s="44"/>
      <c r="AK506" s="44"/>
      <c r="AL506" s="44"/>
    </row>
    <row r="507" spans="1:38" ht="15.75" customHeight="1" x14ac:dyDescent="0.25">
      <c r="A507" s="44"/>
      <c r="B507" s="44"/>
      <c r="C507" s="44"/>
      <c r="D507" s="44"/>
      <c r="E507" s="44"/>
      <c r="F507" s="44"/>
      <c r="G507" s="205"/>
      <c r="H507" s="44"/>
      <c r="I507" s="44"/>
      <c r="J507" s="44"/>
      <c r="K507" s="44"/>
      <c r="L507" s="44"/>
      <c r="M507" s="44"/>
      <c r="N507" s="44"/>
      <c r="O507" s="44"/>
      <c r="P507" s="44"/>
      <c r="Q507" s="44"/>
      <c r="R507" s="44"/>
      <c r="S507" s="44"/>
      <c r="T507" s="44"/>
      <c r="U507" s="44"/>
      <c r="V507" s="44"/>
      <c r="W507" s="44"/>
      <c r="X507" s="44"/>
      <c r="Y507" s="44"/>
      <c r="Z507" s="44"/>
      <c r="AA507" s="44"/>
      <c r="AB507" s="44"/>
      <c r="AC507" s="44"/>
      <c r="AD507" s="44"/>
      <c r="AE507" s="44"/>
      <c r="AF507" s="44"/>
      <c r="AG507" s="44"/>
      <c r="AH507" s="44"/>
      <c r="AI507" s="44"/>
      <c r="AJ507" s="44"/>
      <c r="AK507" s="44"/>
      <c r="AL507" s="44"/>
    </row>
    <row r="508" spans="1:38" ht="15.75" customHeight="1" x14ac:dyDescent="0.25">
      <c r="A508" s="44"/>
      <c r="B508" s="44"/>
      <c r="C508" s="44"/>
      <c r="D508" s="44"/>
      <c r="E508" s="44"/>
      <c r="F508" s="44"/>
      <c r="G508" s="205"/>
      <c r="H508" s="44"/>
      <c r="I508" s="44"/>
      <c r="J508" s="44"/>
      <c r="K508" s="44"/>
      <c r="L508" s="44"/>
      <c r="M508" s="44"/>
      <c r="N508" s="44"/>
      <c r="O508" s="44"/>
      <c r="P508" s="44"/>
      <c r="Q508" s="44"/>
      <c r="R508" s="44"/>
      <c r="S508" s="44"/>
      <c r="T508" s="44"/>
      <c r="U508" s="44"/>
      <c r="V508" s="44"/>
      <c r="W508" s="44"/>
      <c r="X508" s="44"/>
      <c r="Y508" s="44"/>
      <c r="Z508" s="44"/>
      <c r="AA508" s="44"/>
      <c r="AB508" s="44"/>
      <c r="AC508" s="44"/>
      <c r="AD508" s="44"/>
      <c r="AE508" s="44"/>
      <c r="AF508" s="44"/>
      <c r="AG508" s="44"/>
      <c r="AH508" s="44"/>
      <c r="AI508" s="44"/>
      <c r="AJ508" s="44"/>
      <c r="AK508" s="44"/>
      <c r="AL508" s="44"/>
    </row>
    <row r="509" spans="1:38" ht="15.75" customHeight="1" x14ac:dyDescent="0.25">
      <c r="A509" s="44"/>
      <c r="B509" s="44"/>
      <c r="C509" s="44"/>
      <c r="D509" s="44"/>
      <c r="E509" s="44"/>
      <c r="F509" s="44"/>
      <c r="G509" s="205"/>
      <c r="H509" s="44"/>
      <c r="I509" s="44"/>
      <c r="J509" s="44"/>
      <c r="K509" s="44"/>
      <c r="L509" s="44"/>
      <c r="M509" s="44"/>
      <c r="N509" s="44"/>
      <c r="O509" s="44"/>
      <c r="P509" s="44"/>
      <c r="Q509" s="44"/>
      <c r="R509" s="44"/>
      <c r="S509" s="44"/>
      <c r="T509" s="44"/>
      <c r="U509" s="44"/>
      <c r="V509" s="44"/>
      <c r="W509" s="44"/>
      <c r="X509" s="44"/>
      <c r="Y509" s="44"/>
      <c r="Z509" s="44"/>
      <c r="AA509" s="44"/>
      <c r="AB509" s="44"/>
      <c r="AC509" s="44"/>
      <c r="AD509" s="44"/>
      <c r="AE509" s="44"/>
      <c r="AF509" s="44"/>
      <c r="AG509" s="44"/>
      <c r="AH509" s="44"/>
      <c r="AI509" s="44"/>
      <c r="AJ509" s="44"/>
      <c r="AK509" s="44"/>
      <c r="AL509" s="44"/>
    </row>
    <row r="510" spans="1:38" ht="15.75" customHeight="1" x14ac:dyDescent="0.25">
      <c r="A510" s="44"/>
      <c r="B510" s="44"/>
      <c r="C510" s="44"/>
      <c r="D510" s="44"/>
      <c r="E510" s="44"/>
      <c r="F510" s="44"/>
      <c r="G510" s="205"/>
      <c r="H510" s="44"/>
      <c r="I510" s="44"/>
      <c r="J510" s="44"/>
      <c r="K510" s="44"/>
      <c r="L510" s="44"/>
      <c r="M510" s="44"/>
      <c r="N510" s="44"/>
      <c r="O510" s="44"/>
      <c r="P510" s="44"/>
      <c r="Q510" s="44"/>
      <c r="R510" s="44"/>
      <c r="S510" s="44"/>
      <c r="T510" s="44"/>
      <c r="U510" s="44"/>
      <c r="V510" s="44"/>
      <c r="W510" s="44"/>
      <c r="X510" s="44"/>
      <c r="Y510" s="44"/>
      <c r="Z510" s="44"/>
      <c r="AA510" s="44"/>
      <c r="AB510" s="44"/>
      <c r="AC510" s="44"/>
      <c r="AD510" s="44"/>
      <c r="AE510" s="44"/>
      <c r="AF510" s="44"/>
      <c r="AG510" s="44"/>
      <c r="AH510" s="44"/>
      <c r="AI510" s="44"/>
      <c r="AJ510" s="44"/>
      <c r="AK510" s="44"/>
      <c r="AL510" s="44"/>
    </row>
    <row r="511" spans="1:38" ht="15.75" customHeight="1" x14ac:dyDescent="0.25">
      <c r="A511" s="44"/>
      <c r="B511" s="44"/>
      <c r="C511" s="44"/>
      <c r="D511" s="44"/>
      <c r="E511" s="44"/>
      <c r="F511" s="44"/>
      <c r="G511" s="205"/>
      <c r="H511" s="44"/>
      <c r="I511" s="44"/>
      <c r="J511" s="44"/>
      <c r="K511" s="44"/>
      <c r="L511" s="44"/>
      <c r="M511" s="44"/>
      <c r="N511" s="44"/>
      <c r="O511" s="44"/>
      <c r="P511" s="44"/>
      <c r="Q511" s="44"/>
      <c r="R511" s="44"/>
      <c r="S511" s="44"/>
      <c r="T511" s="44"/>
      <c r="U511" s="44"/>
      <c r="V511" s="44"/>
      <c r="W511" s="44"/>
      <c r="X511" s="44"/>
      <c r="Y511" s="44"/>
      <c r="Z511" s="44"/>
      <c r="AA511" s="44"/>
      <c r="AB511" s="44"/>
      <c r="AC511" s="44"/>
      <c r="AD511" s="44"/>
      <c r="AE511" s="44"/>
      <c r="AF511" s="44"/>
      <c r="AG511" s="44"/>
      <c r="AH511" s="44"/>
      <c r="AI511" s="44"/>
      <c r="AJ511" s="44"/>
      <c r="AK511" s="44"/>
      <c r="AL511" s="44"/>
    </row>
    <row r="512" spans="1:38" ht="15.75" customHeight="1" x14ac:dyDescent="0.25">
      <c r="A512" s="44"/>
      <c r="B512" s="44"/>
      <c r="C512" s="44"/>
      <c r="D512" s="44"/>
      <c r="E512" s="44"/>
      <c r="F512" s="44"/>
      <c r="G512" s="205"/>
      <c r="H512" s="44"/>
      <c r="I512" s="44"/>
      <c r="J512" s="44"/>
      <c r="K512" s="44"/>
      <c r="L512" s="44"/>
      <c r="M512" s="44"/>
      <c r="N512" s="44"/>
      <c r="O512" s="44"/>
      <c r="P512" s="44"/>
      <c r="Q512" s="44"/>
      <c r="R512" s="44"/>
      <c r="S512" s="44"/>
      <c r="T512" s="44"/>
      <c r="U512" s="44"/>
      <c r="V512" s="44"/>
      <c r="W512" s="44"/>
      <c r="X512" s="44"/>
      <c r="Y512" s="44"/>
      <c r="Z512" s="44"/>
      <c r="AA512" s="44"/>
      <c r="AB512" s="44"/>
      <c r="AC512" s="44"/>
      <c r="AD512" s="44"/>
      <c r="AE512" s="44"/>
      <c r="AF512" s="44"/>
      <c r="AG512" s="44"/>
      <c r="AH512" s="44"/>
      <c r="AI512" s="44"/>
      <c r="AJ512" s="44"/>
      <c r="AK512" s="44"/>
      <c r="AL512" s="44"/>
    </row>
    <row r="513" spans="1:38" ht="15.75" customHeight="1" x14ac:dyDescent="0.25">
      <c r="A513" s="44"/>
      <c r="B513" s="44"/>
      <c r="C513" s="44"/>
      <c r="D513" s="44"/>
      <c r="E513" s="44"/>
      <c r="F513" s="44"/>
      <c r="G513" s="205"/>
      <c r="H513" s="44"/>
      <c r="I513" s="44"/>
      <c r="J513" s="44"/>
      <c r="K513" s="44"/>
      <c r="L513" s="44"/>
      <c r="M513" s="44"/>
      <c r="N513" s="44"/>
      <c r="O513" s="44"/>
      <c r="P513" s="44"/>
      <c r="Q513" s="44"/>
      <c r="R513" s="44"/>
      <c r="S513" s="44"/>
      <c r="T513" s="44"/>
      <c r="U513" s="44"/>
      <c r="V513" s="44"/>
      <c r="W513" s="44"/>
      <c r="X513" s="44"/>
      <c r="Y513" s="44"/>
      <c r="Z513" s="44"/>
      <c r="AA513" s="44"/>
      <c r="AB513" s="44"/>
      <c r="AC513" s="44"/>
      <c r="AD513" s="44"/>
      <c r="AE513" s="44"/>
      <c r="AF513" s="44"/>
      <c r="AG513" s="44"/>
      <c r="AH513" s="44"/>
      <c r="AI513" s="44"/>
      <c r="AJ513" s="44"/>
      <c r="AK513" s="44"/>
      <c r="AL513" s="44"/>
    </row>
    <row r="514" spans="1:38" ht="15.75" customHeight="1" x14ac:dyDescent="0.25">
      <c r="A514" s="44"/>
      <c r="B514" s="44"/>
      <c r="C514" s="44"/>
      <c r="D514" s="44"/>
      <c r="E514" s="44"/>
      <c r="F514" s="44"/>
      <c r="G514" s="205"/>
      <c r="H514" s="44"/>
      <c r="I514" s="44"/>
      <c r="J514" s="44"/>
      <c r="K514" s="44"/>
      <c r="L514" s="44"/>
      <c r="M514" s="44"/>
      <c r="N514" s="44"/>
      <c r="O514" s="44"/>
      <c r="P514" s="44"/>
      <c r="Q514" s="44"/>
      <c r="R514" s="44"/>
      <c r="S514" s="44"/>
      <c r="T514" s="44"/>
      <c r="U514" s="44"/>
      <c r="V514" s="44"/>
      <c r="W514" s="44"/>
      <c r="X514" s="44"/>
      <c r="Y514" s="44"/>
      <c r="Z514" s="44"/>
      <c r="AA514" s="44"/>
      <c r="AB514" s="44"/>
      <c r="AC514" s="44"/>
      <c r="AD514" s="44"/>
      <c r="AE514" s="44"/>
      <c r="AF514" s="44"/>
      <c r="AG514" s="44"/>
      <c r="AH514" s="44"/>
      <c r="AI514" s="44"/>
      <c r="AJ514" s="44"/>
      <c r="AK514" s="44"/>
      <c r="AL514" s="44"/>
    </row>
    <row r="515" spans="1:38" ht="15.75" customHeight="1" x14ac:dyDescent="0.25">
      <c r="A515" s="44"/>
      <c r="B515" s="44"/>
      <c r="C515" s="44"/>
      <c r="D515" s="44"/>
      <c r="E515" s="44"/>
      <c r="F515" s="44"/>
      <c r="G515" s="205"/>
      <c r="H515" s="44"/>
      <c r="I515" s="44"/>
      <c r="J515" s="44"/>
      <c r="K515" s="44"/>
      <c r="L515" s="44"/>
      <c r="M515" s="44"/>
      <c r="N515" s="44"/>
      <c r="O515" s="44"/>
      <c r="P515" s="44"/>
      <c r="Q515" s="44"/>
      <c r="R515" s="44"/>
      <c r="S515" s="44"/>
      <c r="T515" s="44"/>
      <c r="U515" s="44"/>
      <c r="V515" s="44"/>
      <c r="W515" s="44"/>
      <c r="X515" s="44"/>
      <c r="Y515" s="44"/>
      <c r="Z515" s="44"/>
      <c r="AA515" s="44"/>
      <c r="AB515" s="44"/>
      <c r="AC515" s="44"/>
      <c r="AD515" s="44"/>
      <c r="AE515" s="44"/>
      <c r="AF515" s="44"/>
      <c r="AG515" s="44"/>
      <c r="AH515" s="44"/>
      <c r="AI515" s="44"/>
      <c r="AJ515" s="44"/>
      <c r="AK515" s="44"/>
      <c r="AL515" s="44"/>
    </row>
    <row r="516" spans="1:38" ht="15.75" customHeight="1" x14ac:dyDescent="0.25">
      <c r="A516" s="44"/>
      <c r="B516" s="44"/>
      <c r="C516" s="44"/>
      <c r="D516" s="44"/>
      <c r="E516" s="44"/>
      <c r="F516" s="44"/>
      <c r="G516" s="205"/>
      <c r="H516" s="44"/>
      <c r="I516" s="44"/>
      <c r="J516" s="44"/>
      <c r="K516" s="44"/>
      <c r="L516" s="44"/>
      <c r="M516" s="44"/>
      <c r="N516" s="44"/>
      <c r="O516" s="44"/>
      <c r="P516" s="44"/>
      <c r="Q516" s="44"/>
      <c r="R516" s="44"/>
      <c r="S516" s="44"/>
      <c r="T516" s="44"/>
      <c r="U516" s="44"/>
      <c r="V516" s="44"/>
      <c r="W516" s="44"/>
      <c r="X516" s="44"/>
      <c r="Y516" s="44"/>
      <c r="Z516" s="44"/>
      <c r="AA516" s="44"/>
      <c r="AB516" s="44"/>
      <c r="AC516" s="44"/>
      <c r="AD516" s="44"/>
      <c r="AE516" s="44"/>
      <c r="AF516" s="44"/>
      <c r="AG516" s="44"/>
      <c r="AH516" s="44"/>
      <c r="AI516" s="44"/>
      <c r="AJ516" s="44"/>
      <c r="AK516" s="44"/>
      <c r="AL516" s="44"/>
    </row>
    <row r="517" spans="1:38" ht="15.75" customHeight="1" x14ac:dyDescent="0.25">
      <c r="A517" s="44"/>
      <c r="B517" s="44"/>
      <c r="C517" s="44"/>
      <c r="D517" s="44"/>
      <c r="E517" s="44"/>
      <c r="F517" s="44"/>
      <c r="G517" s="205"/>
      <c r="H517" s="44"/>
      <c r="I517" s="44"/>
      <c r="J517" s="44"/>
      <c r="K517" s="44"/>
      <c r="L517" s="44"/>
      <c r="M517" s="44"/>
      <c r="N517" s="44"/>
      <c r="O517" s="44"/>
      <c r="P517" s="44"/>
      <c r="Q517" s="44"/>
      <c r="R517" s="44"/>
      <c r="S517" s="44"/>
      <c r="T517" s="44"/>
      <c r="U517" s="44"/>
      <c r="V517" s="44"/>
      <c r="W517" s="44"/>
      <c r="X517" s="44"/>
      <c r="Y517" s="44"/>
      <c r="Z517" s="44"/>
      <c r="AA517" s="44"/>
      <c r="AB517" s="44"/>
      <c r="AC517" s="44"/>
      <c r="AD517" s="44"/>
      <c r="AE517" s="44"/>
      <c r="AF517" s="44"/>
      <c r="AG517" s="44"/>
      <c r="AH517" s="44"/>
      <c r="AI517" s="44"/>
      <c r="AJ517" s="44"/>
      <c r="AK517" s="44"/>
      <c r="AL517" s="44"/>
    </row>
    <row r="518" spans="1:38" ht="15.75" customHeight="1" x14ac:dyDescent="0.25">
      <c r="A518" s="44"/>
      <c r="B518" s="44"/>
      <c r="C518" s="44"/>
      <c r="D518" s="44"/>
      <c r="E518" s="44"/>
      <c r="F518" s="44"/>
      <c r="G518" s="205"/>
      <c r="H518" s="44"/>
      <c r="I518" s="44"/>
      <c r="J518" s="44"/>
      <c r="K518" s="44"/>
      <c r="L518" s="44"/>
      <c r="M518" s="44"/>
      <c r="N518" s="44"/>
      <c r="O518" s="44"/>
      <c r="P518" s="44"/>
      <c r="Q518" s="44"/>
      <c r="R518" s="44"/>
      <c r="S518" s="44"/>
      <c r="T518" s="44"/>
      <c r="U518" s="44"/>
      <c r="V518" s="44"/>
      <c r="W518" s="44"/>
      <c r="X518" s="44"/>
      <c r="Y518" s="44"/>
      <c r="Z518" s="44"/>
      <c r="AA518" s="44"/>
      <c r="AB518" s="44"/>
      <c r="AC518" s="44"/>
      <c r="AD518" s="44"/>
      <c r="AE518" s="44"/>
      <c r="AF518" s="44"/>
      <c r="AG518" s="44"/>
      <c r="AH518" s="44"/>
      <c r="AI518" s="44"/>
      <c r="AJ518" s="44"/>
      <c r="AK518" s="44"/>
      <c r="AL518" s="44"/>
    </row>
    <row r="519" spans="1:38" ht="15.75" customHeight="1" x14ac:dyDescent="0.25">
      <c r="A519" s="44"/>
      <c r="B519" s="44"/>
      <c r="C519" s="44"/>
      <c r="D519" s="44"/>
      <c r="E519" s="44"/>
      <c r="F519" s="44"/>
      <c r="G519" s="205"/>
      <c r="H519" s="44"/>
      <c r="I519" s="44"/>
      <c r="J519" s="44"/>
      <c r="K519" s="44"/>
      <c r="L519" s="44"/>
      <c r="M519" s="44"/>
      <c r="N519" s="44"/>
      <c r="O519" s="44"/>
      <c r="P519" s="44"/>
      <c r="Q519" s="44"/>
      <c r="R519" s="44"/>
      <c r="S519" s="44"/>
      <c r="T519" s="44"/>
      <c r="U519" s="44"/>
      <c r="V519" s="44"/>
      <c r="W519" s="44"/>
      <c r="X519" s="44"/>
      <c r="Y519" s="44"/>
      <c r="Z519" s="44"/>
      <c r="AA519" s="44"/>
      <c r="AB519" s="44"/>
      <c r="AC519" s="44"/>
      <c r="AD519" s="44"/>
      <c r="AE519" s="44"/>
      <c r="AF519" s="44"/>
      <c r="AG519" s="44"/>
      <c r="AH519" s="44"/>
      <c r="AI519" s="44"/>
      <c r="AJ519" s="44"/>
      <c r="AK519" s="44"/>
      <c r="AL519" s="44"/>
    </row>
    <row r="520" spans="1:38" ht="15.75" customHeight="1" x14ac:dyDescent="0.25">
      <c r="A520" s="44"/>
      <c r="B520" s="44"/>
      <c r="C520" s="44"/>
      <c r="D520" s="44"/>
      <c r="E520" s="44"/>
      <c r="F520" s="44"/>
      <c r="G520" s="205"/>
      <c r="H520" s="44"/>
      <c r="I520" s="44"/>
      <c r="J520" s="44"/>
      <c r="K520" s="44"/>
      <c r="L520" s="44"/>
      <c r="M520" s="44"/>
      <c r="N520" s="44"/>
      <c r="O520" s="44"/>
      <c r="P520" s="44"/>
      <c r="Q520" s="44"/>
      <c r="R520" s="44"/>
      <c r="S520" s="44"/>
      <c r="T520" s="44"/>
      <c r="U520" s="44"/>
      <c r="V520" s="44"/>
      <c r="W520" s="44"/>
      <c r="X520" s="44"/>
      <c r="Y520" s="44"/>
      <c r="Z520" s="44"/>
      <c r="AA520" s="44"/>
      <c r="AB520" s="44"/>
      <c r="AC520" s="44"/>
      <c r="AD520" s="44"/>
      <c r="AE520" s="44"/>
      <c r="AF520" s="44"/>
      <c r="AG520" s="44"/>
      <c r="AH520" s="44"/>
      <c r="AI520" s="44"/>
      <c r="AJ520" s="44"/>
      <c r="AK520" s="44"/>
      <c r="AL520" s="44"/>
    </row>
    <row r="521" spans="1:38" ht="15.75" customHeight="1" x14ac:dyDescent="0.25">
      <c r="A521" s="44"/>
      <c r="B521" s="44"/>
      <c r="C521" s="44"/>
      <c r="D521" s="44"/>
      <c r="E521" s="44"/>
      <c r="F521" s="44"/>
      <c r="G521" s="205"/>
      <c r="H521" s="44"/>
      <c r="I521" s="44"/>
      <c r="J521" s="44"/>
      <c r="K521" s="44"/>
      <c r="L521" s="44"/>
      <c r="M521" s="44"/>
      <c r="N521" s="44"/>
      <c r="O521" s="44"/>
      <c r="P521" s="44"/>
      <c r="Q521" s="44"/>
      <c r="R521" s="44"/>
      <c r="S521" s="44"/>
      <c r="T521" s="44"/>
      <c r="U521" s="44"/>
      <c r="V521" s="44"/>
      <c r="W521" s="44"/>
      <c r="X521" s="44"/>
      <c r="Y521" s="44"/>
      <c r="Z521" s="44"/>
      <c r="AA521" s="44"/>
      <c r="AB521" s="44"/>
      <c r="AC521" s="44"/>
      <c r="AD521" s="44"/>
      <c r="AE521" s="44"/>
      <c r="AF521" s="44"/>
      <c r="AG521" s="44"/>
      <c r="AH521" s="44"/>
      <c r="AI521" s="44"/>
      <c r="AJ521" s="44"/>
      <c r="AK521" s="44"/>
      <c r="AL521" s="44"/>
    </row>
    <row r="522" spans="1:38" ht="15.75" customHeight="1" x14ac:dyDescent="0.25">
      <c r="A522" s="44"/>
      <c r="B522" s="44"/>
      <c r="C522" s="44"/>
      <c r="D522" s="44"/>
      <c r="E522" s="44"/>
      <c r="F522" s="44"/>
      <c r="G522" s="205"/>
      <c r="H522" s="44"/>
      <c r="I522" s="44"/>
      <c r="J522" s="44"/>
      <c r="K522" s="44"/>
      <c r="L522" s="44"/>
      <c r="M522" s="44"/>
      <c r="N522" s="44"/>
      <c r="O522" s="44"/>
      <c r="P522" s="44"/>
      <c r="Q522" s="44"/>
      <c r="R522" s="44"/>
      <c r="S522" s="44"/>
      <c r="T522" s="44"/>
      <c r="U522" s="44"/>
      <c r="V522" s="44"/>
      <c r="W522" s="44"/>
      <c r="X522" s="44"/>
      <c r="Y522" s="44"/>
      <c r="Z522" s="44"/>
      <c r="AA522" s="44"/>
      <c r="AB522" s="44"/>
      <c r="AC522" s="44"/>
      <c r="AD522" s="44"/>
      <c r="AE522" s="44"/>
      <c r="AF522" s="44"/>
      <c r="AG522" s="44"/>
      <c r="AH522" s="44"/>
      <c r="AI522" s="44"/>
      <c r="AJ522" s="44"/>
      <c r="AK522" s="44"/>
      <c r="AL522" s="44"/>
    </row>
    <row r="523" spans="1:38" ht="15.75" customHeight="1" x14ac:dyDescent="0.25">
      <c r="A523" s="44"/>
      <c r="B523" s="44"/>
      <c r="C523" s="44"/>
      <c r="D523" s="44"/>
      <c r="E523" s="44"/>
      <c r="F523" s="44"/>
      <c r="G523" s="205"/>
      <c r="H523" s="44"/>
      <c r="I523" s="44"/>
      <c r="J523" s="44"/>
      <c r="K523" s="44"/>
      <c r="L523" s="44"/>
      <c r="M523" s="44"/>
      <c r="N523" s="44"/>
      <c r="O523" s="44"/>
      <c r="P523" s="44"/>
      <c r="Q523" s="44"/>
      <c r="R523" s="44"/>
      <c r="S523" s="44"/>
      <c r="T523" s="44"/>
      <c r="U523" s="44"/>
      <c r="V523" s="44"/>
      <c r="W523" s="44"/>
      <c r="X523" s="44"/>
      <c r="Y523" s="44"/>
      <c r="Z523" s="44"/>
      <c r="AA523" s="44"/>
      <c r="AB523" s="44"/>
      <c r="AC523" s="44"/>
      <c r="AD523" s="44"/>
      <c r="AE523" s="44"/>
      <c r="AF523" s="44"/>
      <c r="AG523" s="44"/>
      <c r="AH523" s="44"/>
      <c r="AI523" s="44"/>
      <c r="AJ523" s="44"/>
      <c r="AK523" s="44"/>
      <c r="AL523" s="44"/>
    </row>
    <row r="524" spans="1:38" ht="15.75" customHeight="1" x14ac:dyDescent="0.25">
      <c r="A524" s="44"/>
      <c r="B524" s="44"/>
      <c r="C524" s="44"/>
      <c r="D524" s="44"/>
      <c r="E524" s="44"/>
      <c r="F524" s="44"/>
      <c r="G524" s="205"/>
      <c r="H524" s="44"/>
      <c r="I524" s="44"/>
      <c r="J524" s="44"/>
      <c r="K524" s="44"/>
      <c r="L524" s="44"/>
      <c r="M524" s="44"/>
      <c r="N524" s="44"/>
      <c r="O524" s="44"/>
      <c r="P524" s="44"/>
      <c r="Q524" s="44"/>
      <c r="R524" s="44"/>
      <c r="S524" s="44"/>
      <c r="T524" s="44"/>
      <c r="U524" s="44"/>
      <c r="V524" s="44"/>
      <c r="W524" s="44"/>
      <c r="X524" s="44"/>
      <c r="Y524" s="44"/>
      <c r="Z524" s="44"/>
      <c r="AA524" s="44"/>
      <c r="AB524" s="44"/>
      <c r="AC524" s="44"/>
      <c r="AD524" s="44"/>
      <c r="AE524" s="44"/>
      <c r="AF524" s="44"/>
      <c r="AG524" s="44"/>
      <c r="AH524" s="44"/>
      <c r="AI524" s="44"/>
      <c r="AJ524" s="44"/>
      <c r="AK524" s="44"/>
      <c r="AL524" s="44"/>
    </row>
    <row r="525" spans="1:38" ht="15.75" customHeight="1" x14ac:dyDescent="0.25">
      <c r="A525" s="44"/>
      <c r="B525" s="44"/>
      <c r="C525" s="44"/>
      <c r="D525" s="44"/>
      <c r="E525" s="44"/>
      <c r="F525" s="44"/>
      <c r="G525" s="205"/>
      <c r="H525" s="44"/>
      <c r="I525" s="44"/>
      <c r="J525" s="44"/>
      <c r="K525" s="44"/>
      <c r="L525" s="44"/>
      <c r="M525" s="44"/>
      <c r="N525" s="44"/>
      <c r="O525" s="44"/>
      <c r="P525" s="44"/>
      <c r="Q525" s="44"/>
      <c r="R525" s="44"/>
      <c r="S525" s="44"/>
      <c r="T525" s="44"/>
      <c r="U525" s="44"/>
      <c r="V525" s="44"/>
      <c r="W525" s="44"/>
      <c r="X525" s="44"/>
      <c r="Y525" s="44"/>
      <c r="Z525" s="44"/>
      <c r="AA525" s="44"/>
      <c r="AB525" s="44"/>
      <c r="AC525" s="44"/>
      <c r="AD525" s="44"/>
      <c r="AE525" s="44"/>
      <c r="AF525" s="44"/>
      <c r="AG525" s="44"/>
      <c r="AH525" s="44"/>
      <c r="AI525" s="44"/>
      <c r="AJ525" s="44"/>
      <c r="AK525" s="44"/>
      <c r="AL525" s="44"/>
    </row>
    <row r="526" spans="1:38" ht="15.75" customHeight="1" x14ac:dyDescent="0.25">
      <c r="A526" s="44"/>
      <c r="B526" s="44"/>
      <c r="C526" s="44"/>
      <c r="D526" s="44"/>
      <c r="E526" s="44"/>
      <c r="F526" s="44"/>
      <c r="G526" s="205"/>
      <c r="H526" s="44"/>
      <c r="I526" s="44"/>
      <c r="J526" s="44"/>
      <c r="K526" s="44"/>
      <c r="L526" s="44"/>
      <c r="M526" s="44"/>
      <c r="N526" s="44"/>
      <c r="O526" s="44"/>
      <c r="P526" s="44"/>
      <c r="Q526" s="44"/>
      <c r="R526" s="44"/>
      <c r="S526" s="44"/>
      <c r="T526" s="44"/>
      <c r="U526" s="44"/>
      <c r="V526" s="44"/>
      <c r="W526" s="44"/>
      <c r="X526" s="44"/>
      <c r="Y526" s="44"/>
      <c r="Z526" s="44"/>
      <c r="AA526" s="44"/>
      <c r="AB526" s="44"/>
      <c r="AC526" s="44"/>
      <c r="AD526" s="44"/>
      <c r="AE526" s="44"/>
      <c r="AF526" s="44"/>
      <c r="AG526" s="44"/>
      <c r="AH526" s="44"/>
      <c r="AI526" s="44"/>
      <c r="AJ526" s="44"/>
      <c r="AK526" s="44"/>
      <c r="AL526" s="44"/>
    </row>
    <row r="527" spans="1:38" ht="15.75" customHeight="1" x14ac:dyDescent="0.25">
      <c r="A527" s="44"/>
      <c r="B527" s="44"/>
      <c r="C527" s="44"/>
      <c r="D527" s="44"/>
      <c r="E527" s="44"/>
      <c r="F527" s="44"/>
      <c r="G527" s="205"/>
      <c r="H527" s="44"/>
      <c r="I527" s="44"/>
      <c r="J527" s="44"/>
      <c r="K527" s="44"/>
      <c r="L527" s="44"/>
      <c r="M527" s="44"/>
      <c r="N527" s="44"/>
      <c r="O527" s="44"/>
      <c r="P527" s="44"/>
      <c r="Q527" s="44"/>
      <c r="R527" s="44"/>
      <c r="S527" s="44"/>
      <c r="T527" s="44"/>
      <c r="U527" s="44"/>
      <c r="V527" s="44"/>
      <c r="W527" s="44"/>
      <c r="X527" s="44"/>
      <c r="Y527" s="44"/>
      <c r="Z527" s="44"/>
      <c r="AA527" s="44"/>
      <c r="AB527" s="44"/>
      <c r="AC527" s="44"/>
      <c r="AD527" s="44"/>
      <c r="AE527" s="44"/>
      <c r="AF527" s="44"/>
      <c r="AG527" s="44"/>
      <c r="AH527" s="44"/>
      <c r="AI527" s="44"/>
      <c r="AJ527" s="44"/>
      <c r="AK527" s="44"/>
      <c r="AL527" s="44"/>
    </row>
    <row r="528" spans="1:38" ht="15.75" customHeight="1" x14ac:dyDescent="0.25">
      <c r="A528" s="44"/>
      <c r="B528" s="44"/>
      <c r="C528" s="44"/>
      <c r="D528" s="44"/>
      <c r="E528" s="44"/>
      <c r="F528" s="44"/>
      <c r="G528" s="205"/>
      <c r="H528" s="44"/>
      <c r="I528" s="44"/>
      <c r="J528" s="44"/>
      <c r="K528" s="44"/>
      <c r="L528" s="44"/>
      <c r="M528" s="44"/>
      <c r="N528" s="44"/>
      <c r="O528" s="44"/>
      <c r="P528" s="44"/>
      <c r="Q528" s="44"/>
      <c r="R528" s="44"/>
      <c r="S528" s="44"/>
      <c r="T528" s="44"/>
      <c r="U528" s="44"/>
      <c r="V528" s="44"/>
      <c r="W528" s="44"/>
      <c r="X528" s="44"/>
      <c r="Y528" s="44"/>
      <c r="Z528" s="44"/>
      <c r="AA528" s="44"/>
      <c r="AB528" s="44"/>
      <c r="AC528" s="44"/>
      <c r="AD528" s="44"/>
      <c r="AE528" s="44"/>
      <c r="AF528" s="44"/>
      <c r="AG528" s="44"/>
      <c r="AH528" s="44"/>
      <c r="AI528" s="44"/>
      <c r="AJ528" s="44"/>
      <c r="AK528" s="44"/>
      <c r="AL528" s="44"/>
    </row>
    <row r="529" spans="1:38" ht="15.75" customHeight="1" x14ac:dyDescent="0.25">
      <c r="A529" s="44"/>
      <c r="R529" s="44"/>
      <c r="S529" s="44"/>
      <c r="T529" s="44"/>
      <c r="U529" s="44"/>
      <c r="V529" s="44"/>
      <c r="W529" s="44"/>
      <c r="X529" s="44"/>
      <c r="Y529" s="44"/>
      <c r="Z529" s="44"/>
      <c r="AA529" s="44"/>
      <c r="AB529" s="44"/>
      <c r="AC529" s="44"/>
      <c r="AD529" s="44"/>
      <c r="AE529" s="44"/>
      <c r="AF529" s="44"/>
      <c r="AG529" s="44"/>
      <c r="AH529" s="44"/>
      <c r="AI529" s="44"/>
      <c r="AJ529" s="44"/>
      <c r="AK529" s="44"/>
      <c r="AL529" s="44"/>
    </row>
    <row r="530" spans="1:38" ht="15.75" customHeight="1" x14ac:dyDescent="0.25">
      <c r="A530" s="44"/>
      <c r="R530" s="44"/>
      <c r="S530" s="44"/>
      <c r="T530" s="44"/>
      <c r="U530" s="44"/>
      <c r="V530" s="44"/>
      <c r="W530" s="44"/>
      <c r="X530" s="44"/>
      <c r="Y530" s="44"/>
      <c r="Z530" s="44"/>
      <c r="AA530" s="44"/>
      <c r="AB530" s="44"/>
      <c r="AC530" s="44"/>
      <c r="AD530" s="44"/>
      <c r="AE530" s="44"/>
      <c r="AF530" s="44"/>
      <c r="AG530" s="44"/>
      <c r="AH530" s="44"/>
      <c r="AI530" s="44"/>
      <c r="AJ530" s="44"/>
      <c r="AK530" s="44"/>
      <c r="AL530" s="44"/>
    </row>
    <row r="531" spans="1:38" ht="15.75" customHeight="1" x14ac:dyDescent="0.25">
      <c r="A531" s="44"/>
      <c r="R531" s="44"/>
      <c r="S531" s="44"/>
      <c r="T531" s="44"/>
      <c r="U531" s="44"/>
      <c r="V531" s="44"/>
      <c r="W531" s="44"/>
      <c r="X531" s="44"/>
      <c r="Y531" s="44"/>
      <c r="Z531" s="44"/>
      <c r="AA531" s="44"/>
      <c r="AB531" s="44"/>
      <c r="AC531" s="44"/>
      <c r="AD531" s="44"/>
      <c r="AE531" s="44"/>
      <c r="AF531" s="44"/>
      <c r="AG531" s="44"/>
      <c r="AH531" s="44"/>
      <c r="AI531" s="44"/>
      <c r="AJ531" s="44"/>
      <c r="AK531" s="44"/>
      <c r="AL531" s="44"/>
    </row>
    <row r="532" spans="1:38" ht="15.75" customHeight="1" x14ac:dyDescent="0.25">
      <c r="A532" s="44"/>
      <c r="R532" s="44"/>
      <c r="S532" s="44"/>
      <c r="T532" s="44"/>
      <c r="U532" s="44"/>
      <c r="V532" s="44"/>
      <c r="W532" s="44"/>
      <c r="X532" s="44"/>
      <c r="Y532" s="44"/>
      <c r="Z532" s="44"/>
      <c r="AA532" s="44"/>
      <c r="AB532" s="44"/>
      <c r="AC532" s="44"/>
      <c r="AD532" s="44"/>
      <c r="AE532" s="44"/>
      <c r="AF532" s="44"/>
      <c r="AG532" s="44"/>
      <c r="AH532" s="44"/>
      <c r="AI532" s="44"/>
      <c r="AJ532" s="44"/>
      <c r="AK532" s="44"/>
      <c r="AL532" s="44"/>
    </row>
    <row r="533" spans="1:38" ht="15.75" customHeight="1" x14ac:dyDescent="0.25">
      <c r="A533" s="44"/>
      <c r="R533" s="44"/>
      <c r="S533" s="44"/>
      <c r="T533" s="44"/>
      <c r="U533" s="44"/>
      <c r="V533" s="44"/>
      <c r="W533" s="44"/>
      <c r="X533" s="44"/>
      <c r="Y533" s="44"/>
      <c r="Z533" s="44"/>
      <c r="AA533" s="44"/>
      <c r="AB533" s="44"/>
      <c r="AC533" s="44"/>
      <c r="AD533" s="44"/>
      <c r="AE533" s="44"/>
      <c r="AF533" s="44"/>
      <c r="AG533" s="44"/>
      <c r="AH533" s="44"/>
      <c r="AI533" s="44"/>
      <c r="AJ533" s="44"/>
      <c r="AK533" s="44"/>
      <c r="AL533" s="44"/>
    </row>
    <row r="534" spans="1:38" ht="15.75" customHeight="1" x14ac:dyDescent="0.25">
      <c r="A534" s="44"/>
      <c r="R534" s="44"/>
      <c r="S534" s="44"/>
      <c r="T534" s="44"/>
      <c r="U534" s="44"/>
      <c r="V534" s="44"/>
      <c r="W534" s="44"/>
      <c r="X534" s="44"/>
      <c r="Y534" s="44"/>
      <c r="Z534" s="44"/>
      <c r="AA534" s="44"/>
      <c r="AB534" s="44"/>
      <c r="AC534" s="44"/>
      <c r="AD534" s="44"/>
      <c r="AE534" s="44"/>
      <c r="AF534" s="44"/>
      <c r="AG534" s="44"/>
      <c r="AH534" s="44"/>
      <c r="AI534" s="44"/>
      <c r="AJ534" s="44"/>
      <c r="AK534" s="44"/>
      <c r="AL534" s="44"/>
    </row>
    <row r="535" spans="1:38" ht="15.75" customHeight="1" x14ac:dyDescent="0.25">
      <c r="A535" s="44"/>
      <c r="R535" s="44"/>
      <c r="S535" s="44"/>
      <c r="T535" s="44"/>
      <c r="U535" s="44"/>
      <c r="V535" s="44"/>
      <c r="W535" s="44"/>
      <c r="X535" s="44"/>
      <c r="Y535" s="44"/>
      <c r="Z535" s="44"/>
      <c r="AA535" s="44"/>
      <c r="AB535" s="44"/>
      <c r="AC535" s="44"/>
      <c r="AD535" s="44"/>
      <c r="AE535" s="44"/>
      <c r="AF535" s="44"/>
      <c r="AG535" s="44"/>
      <c r="AH535" s="44"/>
      <c r="AI535" s="44"/>
      <c r="AJ535" s="44"/>
      <c r="AK535" s="44"/>
      <c r="AL535" s="44"/>
    </row>
  </sheetData>
  <autoFilter ref="Q20:Q480" xr:uid="{4D2883F4-561B-428B-BC02-59AFC8DB0A57}">
    <sortState xmlns:xlrd2="http://schemas.microsoft.com/office/spreadsheetml/2017/richdata2" ref="B22:Q481">
      <sortCondition descending="1" ref="Q20:Q480"/>
    </sortState>
  </autoFilter>
  <mergeCells count="30">
    <mergeCell ref="B484:D484"/>
    <mergeCell ref="M484:N484"/>
    <mergeCell ref="O484:Q484"/>
    <mergeCell ref="B2:Q6"/>
    <mergeCell ref="B15:B16"/>
    <mergeCell ref="C15:C16"/>
    <mergeCell ref="D15:D16"/>
    <mergeCell ref="E15:E16"/>
    <mergeCell ref="F15:F16"/>
    <mergeCell ref="G15:G16"/>
    <mergeCell ref="H15:H16"/>
    <mergeCell ref="I15:I16"/>
    <mergeCell ref="J15:M15"/>
    <mergeCell ref="N15:P15"/>
    <mergeCell ref="Q15:Q16"/>
    <mergeCell ref="B483:D483"/>
    <mergeCell ref="M483:N483"/>
    <mergeCell ref="O483:Q483"/>
    <mergeCell ref="B485:D485"/>
    <mergeCell ref="M485:N485"/>
    <mergeCell ref="O485:Q485"/>
    <mergeCell ref="B486:D486"/>
    <mergeCell ref="M486:N486"/>
    <mergeCell ref="O486:Q486"/>
    <mergeCell ref="B487:D487"/>
    <mergeCell ref="M487:N487"/>
    <mergeCell ref="O487:Q487"/>
    <mergeCell ref="B488:D488"/>
    <mergeCell ref="M488:N488"/>
    <mergeCell ref="O488:Q488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41" fitToHeight="0" orientation="landscape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BFBFBF"/>
    <pageSetUpPr fitToPage="1"/>
  </sheetPr>
  <dimension ref="A1:Z995"/>
  <sheetViews>
    <sheetView workbookViewId="0"/>
  </sheetViews>
  <sheetFormatPr defaultColWidth="12.59765625" defaultRowHeight="15" customHeight="1" x14ac:dyDescent="0.25"/>
  <cols>
    <col min="1" max="1" width="3.19921875" customWidth="1"/>
    <col min="2" max="2" width="13.19921875" customWidth="1"/>
    <col min="3" max="3" width="70.09765625" customWidth="1"/>
    <col min="4" max="5" width="28.69921875" customWidth="1"/>
    <col min="6" max="6" width="18.19921875" customWidth="1"/>
    <col min="7" max="7" width="3.19921875" customWidth="1"/>
    <col min="8" max="8" width="18.19921875" customWidth="1"/>
    <col min="9" max="9" width="19.5" bestFit="1" customWidth="1"/>
    <col min="10" max="10" width="13.796875" bestFit="1" customWidth="1"/>
    <col min="11" max="11" width="17.69921875" customWidth="1"/>
    <col min="12" max="12" width="19" customWidth="1"/>
    <col min="13" max="13" width="13.69921875" customWidth="1"/>
    <col min="14" max="14" width="2.69921875" customWidth="1"/>
    <col min="15" max="15" width="13.69921875" customWidth="1"/>
  </cols>
  <sheetData>
    <row r="1" spans="1:26" ht="13.8" x14ac:dyDescent="0.25">
      <c r="A1" s="44"/>
      <c r="B1" s="2"/>
      <c r="C1" s="22"/>
      <c r="D1" s="22"/>
      <c r="E1" s="22"/>
      <c r="F1" s="22"/>
      <c r="G1" s="44"/>
      <c r="H1" s="44"/>
      <c r="I1" s="45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  <c r="V1" s="44"/>
      <c r="W1" s="44"/>
      <c r="X1" s="44"/>
      <c r="Y1" s="44"/>
      <c r="Z1" s="44"/>
    </row>
    <row r="2" spans="1:26" ht="18.75" customHeight="1" x14ac:dyDescent="0.25">
      <c r="A2" s="46"/>
      <c r="B2" s="327" t="s">
        <v>15</v>
      </c>
      <c r="C2" s="328"/>
      <c r="D2" s="328"/>
      <c r="E2" s="328"/>
      <c r="F2" s="329"/>
      <c r="G2" s="46"/>
      <c r="H2" s="47"/>
      <c r="I2" s="46"/>
      <c r="J2" s="46"/>
      <c r="K2" s="46"/>
      <c r="L2" s="46"/>
      <c r="M2" s="46"/>
      <c r="N2" s="46"/>
      <c r="O2" s="46"/>
      <c r="P2" s="46"/>
      <c r="Q2" s="46"/>
      <c r="R2" s="46"/>
      <c r="S2" s="46"/>
      <c r="T2" s="46"/>
      <c r="U2" s="46"/>
      <c r="V2" s="44"/>
      <c r="W2" s="44"/>
      <c r="X2" s="44"/>
      <c r="Y2" s="44"/>
      <c r="Z2" s="1"/>
    </row>
    <row r="3" spans="1:26" ht="18.75" customHeight="1" x14ac:dyDescent="0.25">
      <c r="A3" s="46"/>
      <c r="B3" s="330"/>
      <c r="C3" s="331"/>
      <c r="D3" s="331"/>
      <c r="E3" s="331"/>
      <c r="F3" s="332"/>
      <c r="G3" s="46"/>
      <c r="H3" s="47"/>
      <c r="I3" s="46"/>
      <c r="J3" s="46"/>
      <c r="K3" s="46"/>
      <c r="L3" s="46"/>
      <c r="M3" s="46"/>
      <c r="N3" s="46"/>
      <c r="O3" s="46"/>
      <c r="P3" s="46"/>
      <c r="Q3" s="46"/>
      <c r="R3" s="46"/>
      <c r="S3" s="46"/>
      <c r="T3" s="46"/>
      <c r="U3" s="46"/>
      <c r="V3" s="44"/>
      <c r="W3" s="44"/>
      <c r="X3" s="44"/>
      <c r="Y3" s="44"/>
      <c r="Z3" s="1"/>
    </row>
    <row r="4" spans="1:26" ht="18.75" customHeight="1" x14ac:dyDescent="0.25">
      <c r="A4" s="46"/>
      <c r="B4" s="330"/>
      <c r="C4" s="331"/>
      <c r="D4" s="331"/>
      <c r="E4" s="331"/>
      <c r="F4" s="332"/>
      <c r="G4" s="46"/>
      <c r="H4" s="47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4"/>
      <c r="W4" s="44"/>
      <c r="X4" s="44"/>
      <c r="Y4" s="44"/>
      <c r="Z4" s="1"/>
    </row>
    <row r="5" spans="1:26" ht="18.75" customHeight="1" x14ac:dyDescent="0.25">
      <c r="A5" s="46"/>
      <c r="B5" s="330"/>
      <c r="C5" s="331"/>
      <c r="D5" s="331"/>
      <c r="E5" s="331"/>
      <c r="F5" s="332"/>
      <c r="G5" s="46"/>
      <c r="H5" s="47"/>
      <c r="I5" s="46"/>
      <c r="J5" s="46"/>
      <c r="K5" s="46"/>
      <c r="L5" s="46"/>
      <c r="M5" s="46"/>
      <c r="N5" s="46"/>
      <c r="O5" s="46"/>
      <c r="P5" s="46"/>
      <c r="Q5" s="46"/>
      <c r="R5" s="46"/>
      <c r="S5" s="46"/>
      <c r="T5" s="46"/>
      <c r="U5" s="46"/>
      <c r="V5" s="44"/>
      <c r="W5" s="44"/>
      <c r="X5" s="44"/>
      <c r="Y5" s="44"/>
      <c r="Z5" s="1"/>
    </row>
    <row r="6" spans="1:26" ht="18.75" customHeight="1" x14ac:dyDescent="0.25">
      <c r="A6" s="46"/>
      <c r="B6" s="333"/>
      <c r="C6" s="334"/>
      <c r="D6" s="334"/>
      <c r="E6" s="334"/>
      <c r="F6" s="335"/>
      <c r="G6" s="46"/>
      <c r="H6" s="47"/>
      <c r="I6" s="46"/>
      <c r="J6" s="46"/>
      <c r="K6" s="46"/>
      <c r="L6" s="46"/>
      <c r="M6" s="46"/>
      <c r="N6" s="46"/>
      <c r="O6" s="46"/>
      <c r="P6" s="46"/>
      <c r="Q6" s="46"/>
      <c r="R6" s="46"/>
      <c r="S6" s="46"/>
      <c r="T6" s="46"/>
      <c r="U6" s="46"/>
      <c r="V6" s="44"/>
      <c r="W6" s="44"/>
      <c r="X6" s="44"/>
      <c r="Y6" s="44"/>
      <c r="Z6" s="1"/>
    </row>
    <row r="7" spans="1:26" ht="15" customHeight="1" x14ac:dyDescent="0.25">
      <c r="A7" s="48"/>
      <c r="B7" s="4"/>
      <c r="C7" s="4"/>
      <c r="D7" s="4"/>
      <c r="E7" s="4"/>
      <c r="F7" s="4"/>
      <c r="G7" s="48"/>
      <c r="H7" s="49"/>
      <c r="I7" s="48"/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1"/>
    </row>
    <row r="8" spans="1:26" ht="15" customHeight="1" x14ac:dyDescent="0.25">
      <c r="A8" s="48"/>
      <c r="B8" s="50" t="str">
        <f>'DADOS GERAIS'!B8</f>
        <v>Secretaria de Atenção Especializada à Saúde</v>
      </c>
      <c r="C8" s="51"/>
      <c r="D8" s="52" t="s">
        <v>16</v>
      </c>
      <c r="E8" s="52" t="s">
        <v>17</v>
      </c>
      <c r="F8" s="53" t="str">
        <f>'DADOS GERAIS'!$B$22</f>
        <v>Data:</v>
      </c>
      <c r="G8" s="48"/>
      <c r="H8" s="49"/>
      <c r="I8" s="48"/>
      <c r="J8" s="48"/>
      <c r="K8" s="48"/>
      <c r="L8" s="48"/>
      <c r="M8" s="48"/>
      <c r="N8" s="48"/>
      <c r="O8" s="48"/>
      <c r="P8" s="48"/>
      <c r="Q8" s="48"/>
      <c r="R8" s="48"/>
      <c r="S8" s="48"/>
      <c r="T8" s="48"/>
      <c r="U8" s="48"/>
      <c r="V8" s="48"/>
      <c r="W8" s="48"/>
      <c r="X8" s="48"/>
      <c r="Y8" s="48"/>
      <c r="Z8" s="1"/>
    </row>
    <row r="9" spans="1:26" ht="15" customHeight="1" x14ac:dyDescent="0.25">
      <c r="A9" s="48"/>
      <c r="B9" s="54" t="str">
        <f>'DADOS GERAIS'!B9</f>
        <v>Unidade Básica de Saúde Porte 2 - Área Construída: 500,17m²</v>
      </c>
      <c r="C9" s="55"/>
      <c r="D9" s="56">
        <f>'DADOS GERAIS'!C19</f>
        <v>0.26869999999999999</v>
      </c>
      <c r="E9" s="56">
        <f>'ENCARGOS SOCIAIS'!F56</f>
        <v>0.47739999999999999</v>
      </c>
      <c r="F9" s="57" t="str">
        <f>'DADOS GERAIS'!$C$22</f>
        <v>02/2025</v>
      </c>
      <c r="G9" s="48"/>
      <c r="H9" s="49"/>
      <c r="I9" s="48"/>
      <c r="J9" s="48"/>
      <c r="K9" s="48"/>
      <c r="L9" s="48"/>
      <c r="M9" s="48"/>
      <c r="N9" s="48"/>
      <c r="O9" s="48"/>
      <c r="P9" s="48"/>
      <c r="Q9" s="48"/>
      <c r="R9" s="48"/>
      <c r="S9" s="48"/>
      <c r="T9" s="48"/>
      <c r="U9" s="48"/>
      <c r="V9" s="48"/>
      <c r="W9" s="48"/>
      <c r="X9" s="48"/>
      <c r="Y9" s="48"/>
      <c r="Z9" s="1"/>
    </row>
    <row r="10" spans="1:26" ht="15" customHeight="1" x14ac:dyDescent="0.25">
      <c r="A10" s="48"/>
      <c r="B10" s="58"/>
      <c r="C10" s="55"/>
      <c r="D10" s="1"/>
      <c r="E10" s="1"/>
      <c r="F10" s="59"/>
      <c r="G10" s="48"/>
      <c r="H10" s="49"/>
      <c r="I10" s="48"/>
      <c r="J10" s="48"/>
      <c r="K10" s="48"/>
      <c r="L10" s="48"/>
      <c r="M10" s="48"/>
      <c r="N10" s="48"/>
      <c r="O10" s="48"/>
      <c r="P10" s="48"/>
      <c r="Q10" s="48"/>
      <c r="R10" s="48"/>
      <c r="S10" s="48"/>
      <c r="T10" s="48"/>
      <c r="U10" s="48"/>
      <c r="V10" s="48"/>
      <c r="W10" s="48"/>
      <c r="X10" s="48"/>
      <c r="Y10" s="48"/>
      <c r="Z10" s="1"/>
    </row>
    <row r="11" spans="1:26" ht="15" customHeight="1" x14ac:dyDescent="0.25">
      <c r="A11" s="48"/>
      <c r="B11" s="60" t="str">
        <f>'DADOS GERAIS'!B11</f>
        <v>Bancos:</v>
      </c>
      <c r="C11" s="55"/>
      <c r="D11" s="61" t="s">
        <v>18</v>
      </c>
      <c r="E11" s="61" t="s">
        <v>19</v>
      </c>
      <c r="F11" s="59" t="str">
        <f>'DADOS GERAIS'!$B$23</f>
        <v>Revisão:</v>
      </c>
      <c r="G11" s="48"/>
      <c r="H11" s="49"/>
      <c r="I11" s="48"/>
      <c r="J11" s="48"/>
      <c r="K11" s="48"/>
      <c r="L11" s="48"/>
      <c r="M11" s="48"/>
      <c r="N11" s="48"/>
      <c r="O11" s="48"/>
      <c r="P11" s="48"/>
      <c r="Q11" s="48"/>
      <c r="R11" s="48"/>
      <c r="S11" s="48"/>
      <c r="T11" s="48"/>
      <c r="U11" s="48"/>
      <c r="V11" s="48"/>
      <c r="W11" s="48"/>
      <c r="X11" s="48"/>
      <c r="Y11" s="48"/>
      <c r="Z11" s="1"/>
    </row>
    <row r="12" spans="1:26" ht="15" customHeight="1" x14ac:dyDescent="0.25">
      <c r="A12" s="48"/>
      <c r="B12" s="347" t="str">
        <f>'DADOS GERAIS'!B12</f>
        <v>SINAPI (12/2024) - CPOS/CDHU (09/2024) - SBC (12/2024) - ORSE (12/2024) - IOPES (03/2024) - EMOP (12/2024) - SEINFRA 027 (DESONERADO)</v>
      </c>
      <c r="C12" s="348"/>
      <c r="D12" s="56">
        <f>'DADOS GERAIS'!C20</f>
        <v>0.19070000000000001</v>
      </c>
      <c r="E12" s="56">
        <f>'ENCARGOS SOCIAIS'!E56</f>
        <v>0.85799999999999998</v>
      </c>
      <c r="F12" s="62" t="str">
        <f>'DADOS GERAIS'!$C$23</f>
        <v>01</v>
      </c>
      <c r="G12" s="48"/>
      <c r="H12" s="49"/>
      <c r="I12" s="48"/>
      <c r="J12" s="48"/>
      <c r="K12" s="48"/>
      <c r="L12" s="48"/>
      <c r="M12" s="48"/>
      <c r="N12" s="48"/>
      <c r="O12" s="48"/>
      <c r="P12" s="48"/>
      <c r="Q12" s="48"/>
      <c r="R12" s="48"/>
      <c r="S12" s="48"/>
      <c r="T12" s="48"/>
      <c r="U12" s="48"/>
      <c r="V12" s="48"/>
      <c r="W12" s="48"/>
      <c r="X12" s="48"/>
      <c r="Y12" s="48"/>
      <c r="Z12" s="1"/>
    </row>
    <row r="13" spans="1:26" ht="15" customHeight="1" x14ac:dyDescent="0.25">
      <c r="A13" s="48"/>
      <c r="B13" s="349"/>
      <c r="C13" s="350"/>
      <c r="D13" s="63"/>
      <c r="E13" s="63"/>
      <c r="F13" s="64"/>
      <c r="G13" s="48"/>
      <c r="H13" s="49"/>
      <c r="I13" s="48"/>
      <c r="J13" s="48"/>
      <c r="K13" s="48"/>
      <c r="L13" s="48"/>
      <c r="M13" s="48"/>
      <c r="N13" s="48"/>
      <c r="O13" s="48"/>
      <c r="P13" s="48"/>
      <c r="Q13" s="48"/>
      <c r="R13" s="48"/>
      <c r="S13" s="48"/>
      <c r="T13" s="48"/>
      <c r="U13" s="48"/>
      <c r="V13" s="48"/>
      <c r="W13" s="48"/>
      <c r="X13" s="48"/>
      <c r="Y13" s="48"/>
      <c r="Z13" s="1"/>
    </row>
    <row r="14" spans="1:26" ht="15" customHeight="1" x14ac:dyDescent="0.25">
      <c r="A14" s="48"/>
      <c r="B14" s="65"/>
      <c r="C14" s="4"/>
      <c r="D14" s="4"/>
      <c r="E14" s="4"/>
      <c r="F14" s="4"/>
      <c r="G14" s="48"/>
      <c r="H14" s="1"/>
      <c r="I14" s="1"/>
      <c r="J14" s="1"/>
      <c r="K14" s="48"/>
      <c r="L14" s="48"/>
      <c r="M14" s="48"/>
      <c r="N14" s="48"/>
      <c r="O14" s="48"/>
      <c r="P14" s="48"/>
      <c r="Q14" s="48"/>
      <c r="R14" s="48"/>
      <c r="S14" s="48"/>
      <c r="T14" s="48"/>
      <c r="U14" s="48"/>
      <c r="V14" s="48"/>
      <c r="W14" s="48"/>
      <c r="X14" s="48"/>
      <c r="Y14" s="48"/>
      <c r="Z14" s="1"/>
    </row>
    <row r="15" spans="1:26" ht="15" customHeight="1" x14ac:dyDescent="0.25">
      <c r="A15" s="66"/>
      <c r="B15" s="67" t="s">
        <v>20</v>
      </c>
      <c r="C15" s="68" t="s">
        <v>21</v>
      </c>
      <c r="D15" s="69"/>
      <c r="E15" s="69" t="s">
        <v>22</v>
      </c>
      <c r="F15" s="70" t="s">
        <v>23</v>
      </c>
      <c r="G15" s="44"/>
      <c r="H15" s="71"/>
      <c r="I15" s="1"/>
      <c r="J15" s="1"/>
      <c r="K15" s="1"/>
      <c r="L15" s="48"/>
      <c r="M15" s="48"/>
      <c r="N15" s="48"/>
      <c r="O15" s="48"/>
      <c r="P15" s="48"/>
      <c r="Q15" s="48"/>
      <c r="R15" s="48"/>
      <c r="S15" s="48"/>
      <c r="T15" s="48"/>
      <c r="U15" s="48"/>
      <c r="V15" s="48"/>
      <c r="W15" s="48"/>
      <c r="X15" s="48"/>
      <c r="Y15" s="48"/>
      <c r="Z15" s="48"/>
    </row>
    <row r="16" spans="1:26" ht="15" customHeight="1" x14ac:dyDescent="0.25">
      <c r="A16" s="66"/>
      <c r="B16" s="72"/>
      <c r="C16" s="73"/>
      <c r="D16" s="73"/>
      <c r="E16" s="72"/>
      <c r="F16" s="72"/>
      <c r="G16" s="44"/>
      <c r="H16" s="48"/>
      <c r="I16" s="1"/>
      <c r="J16" s="1"/>
      <c r="K16" s="1"/>
      <c r="L16" s="48"/>
      <c r="M16" s="48"/>
      <c r="N16" s="48"/>
      <c r="O16" s="48"/>
      <c r="P16" s="48"/>
      <c r="Q16" s="48"/>
      <c r="R16" s="48"/>
      <c r="S16" s="48"/>
      <c r="T16" s="48"/>
      <c r="U16" s="48"/>
      <c r="V16" s="48"/>
      <c r="W16" s="48"/>
      <c r="X16" s="48"/>
      <c r="Y16" s="48"/>
      <c r="Z16" s="48"/>
    </row>
    <row r="17" spans="1:26" ht="15" customHeight="1" x14ac:dyDescent="0.25">
      <c r="A17" s="48"/>
      <c r="B17" s="74">
        <v>1</v>
      </c>
      <c r="C17" s="23" t="str">
        <f t="array" ref="C17">INDEX('ORC. SINTÉTICO - DES'!$E:$E,MATCH($B17,'ORC. SINTÉTICO - DES'!$B:$B,0))</f>
        <v>SERVIÇOS PRELIMINARES E INDIRETOS</v>
      </c>
      <c r="D17" s="75"/>
      <c r="E17" s="76">
        <f>SUM('ORC. SINTÉTICO - DES'!P20:P35)</f>
        <v>204905.35</v>
      </c>
      <c r="F17" s="77">
        <f t="shared" ref="F17:F36" si="0">IFERROR(E17/$E$39,"-")</f>
        <v>8.1000000000000003E-2</v>
      </c>
      <c r="G17" s="44"/>
      <c r="H17" s="260"/>
      <c r="I17" s="1"/>
      <c r="J17" s="1"/>
      <c r="K17" s="1"/>
      <c r="L17" s="48"/>
      <c r="M17" s="48"/>
      <c r="N17" s="48"/>
      <c r="O17" s="48"/>
      <c r="P17" s="48"/>
      <c r="Q17" s="48"/>
      <c r="R17" s="48"/>
      <c r="S17" s="48"/>
      <c r="T17" s="48"/>
      <c r="U17" s="48"/>
      <c r="V17" s="48"/>
      <c r="W17" s="48"/>
      <c r="X17" s="44"/>
      <c r="Y17" s="44"/>
      <c r="Z17" s="44"/>
    </row>
    <row r="18" spans="1:26" ht="15" customHeight="1" x14ac:dyDescent="0.25">
      <c r="A18" s="48"/>
      <c r="B18" s="74">
        <v>2</v>
      </c>
      <c r="C18" s="23" t="str">
        <f t="array" ref="C18">INDEX('ORC. SINTÉTICO - DES'!$E:$E,MATCH($B18,'ORC. SINTÉTICO - DES'!$B:$B,0))</f>
        <v>FUNDAÇÃO</v>
      </c>
      <c r="D18" s="75"/>
      <c r="E18" s="76">
        <f>SUM('ORC. SINTÉTICO - DES'!P37:P52)</f>
        <v>295499.62</v>
      </c>
      <c r="F18" s="77">
        <f t="shared" si="0"/>
        <v>0.1169</v>
      </c>
      <c r="G18" s="44"/>
      <c r="H18" s="260"/>
      <c r="I18" s="1"/>
      <c r="J18" s="1"/>
      <c r="K18" s="1"/>
      <c r="L18" s="48"/>
      <c r="M18" s="48"/>
      <c r="N18" s="48"/>
      <c r="O18" s="48"/>
      <c r="P18" s="48"/>
      <c r="Q18" s="48"/>
      <c r="R18" s="48"/>
      <c r="S18" s="48"/>
      <c r="T18" s="48"/>
      <c r="U18" s="48"/>
      <c r="V18" s="48"/>
      <c r="W18" s="48"/>
      <c r="X18" s="44"/>
      <c r="Y18" s="44"/>
      <c r="Z18" s="44"/>
    </row>
    <row r="19" spans="1:26" ht="15" customHeight="1" x14ac:dyDescent="0.25">
      <c r="A19" s="48"/>
      <c r="B19" s="74">
        <v>3</v>
      </c>
      <c r="C19" s="23" t="str">
        <f t="array" ref="C19">INDEX('ORC. SINTÉTICO - DES'!$E:$E,MATCH($B19,'ORC. SINTÉTICO - DES'!$B:$B,0))</f>
        <v>ESTRUTURA</v>
      </c>
      <c r="D19" s="75"/>
      <c r="E19" s="76">
        <f>SUM('ORC. SINTÉTICO - DES'!P55:P85)</f>
        <v>426593.4</v>
      </c>
      <c r="F19" s="77">
        <f t="shared" si="0"/>
        <v>0.16869999999999999</v>
      </c>
      <c r="G19" s="44"/>
      <c r="H19" s="260"/>
      <c r="I19" s="1"/>
      <c r="J19" s="1"/>
      <c r="K19" s="1"/>
      <c r="L19" s="48"/>
      <c r="M19" s="48"/>
      <c r="N19" s="48"/>
      <c r="O19" s="48"/>
      <c r="P19" s="48"/>
      <c r="Q19" s="48"/>
      <c r="R19" s="48"/>
      <c r="S19" s="48"/>
      <c r="T19" s="48"/>
      <c r="U19" s="48"/>
      <c r="V19" s="48"/>
      <c r="W19" s="48"/>
      <c r="X19" s="44"/>
      <c r="Y19" s="44"/>
      <c r="Z19" s="44"/>
    </row>
    <row r="20" spans="1:26" ht="15" customHeight="1" x14ac:dyDescent="0.25">
      <c r="A20" s="48"/>
      <c r="B20" s="74">
        <v>4</v>
      </c>
      <c r="C20" s="23" t="str">
        <f t="array" ref="C20">INDEX('ORC. SINTÉTICO - DES'!$E:$E,MATCH($B20,'ORC. SINTÉTICO - DES'!$B:$B,0))</f>
        <v>ALVENARIA, VEDAÇÕES E DIVISÓRIAS</v>
      </c>
      <c r="D20" s="78"/>
      <c r="E20" s="76">
        <f>SUM('ORC. SINTÉTICO - DES'!P88:P102)</f>
        <v>221380.76</v>
      </c>
      <c r="F20" s="77">
        <f t="shared" si="0"/>
        <v>8.7499999999999994E-2</v>
      </c>
      <c r="G20" s="44"/>
      <c r="H20" s="260"/>
      <c r="I20" s="1"/>
      <c r="J20" s="1"/>
      <c r="K20" s="1"/>
      <c r="L20" s="48"/>
      <c r="M20" s="48"/>
      <c r="N20" s="48"/>
      <c r="O20" s="48"/>
      <c r="P20" s="48"/>
      <c r="Q20" s="48"/>
      <c r="R20" s="48"/>
      <c r="S20" s="48"/>
      <c r="T20" s="48"/>
      <c r="U20" s="48"/>
      <c r="V20" s="48"/>
      <c r="W20" s="48"/>
      <c r="X20" s="44"/>
      <c r="Y20" s="44"/>
      <c r="Z20" s="44"/>
    </row>
    <row r="21" spans="1:26" ht="15" customHeight="1" x14ac:dyDescent="0.25">
      <c r="A21" s="48"/>
      <c r="B21" s="74">
        <v>5</v>
      </c>
      <c r="C21" s="23" t="str">
        <f t="array" ref="C21">INDEX('ORC. SINTÉTICO - DES'!$E:$E,MATCH($B21,'ORC. SINTÉTICO - DES'!$B:$B,0))</f>
        <v>COBERTURA</v>
      </c>
      <c r="D21" s="75"/>
      <c r="E21" s="76">
        <f>SUM('ORC. SINTÉTICO - DES'!P105:P114)</f>
        <v>121865.45</v>
      </c>
      <c r="F21" s="77">
        <f t="shared" si="0"/>
        <v>4.82E-2</v>
      </c>
      <c r="G21" s="44"/>
      <c r="H21" s="260"/>
      <c r="I21" s="1"/>
      <c r="J21" s="1"/>
      <c r="K21" s="1"/>
      <c r="L21" s="48"/>
      <c r="M21" s="48"/>
      <c r="N21" s="48"/>
      <c r="O21" s="48"/>
      <c r="P21" s="48"/>
      <c r="Q21" s="48"/>
      <c r="R21" s="48"/>
      <c r="S21" s="48"/>
      <c r="T21" s="48"/>
      <c r="U21" s="48"/>
      <c r="V21" s="48"/>
      <c r="W21" s="48"/>
      <c r="X21" s="44"/>
      <c r="Y21" s="44"/>
      <c r="Z21" s="44"/>
    </row>
    <row r="22" spans="1:26" ht="15" customHeight="1" x14ac:dyDescent="0.25">
      <c r="A22" s="48"/>
      <c r="B22" s="74">
        <v>6</v>
      </c>
      <c r="C22" s="23" t="str">
        <f t="array" ref="C22">INDEX('ORC. SINTÉTICO - DES'!$E:$E,MATCH($B22,'ORC. SINTÉTICO - DES'!$B:$B,0))</f>
        <v>IMPERMEABILIZAÇÃO</v>
      </c>
      <c r="D22" s="75"/>
      <c r="E22" s="76">
        <f>SUM('ORC. SINTÉTICO - DES'!P116:P117)</f>
        <v>15744.87</v>
      </c>
      <c r="F22" s="77">
        <f t="shared" si="0"/>
        <v>6.1999999999999998E-3</v>
      </c>
      <c r="G22" s="44"/>
      <c r="H22" s="260"/>
      <c r="I22" s="1"/>
      <c r="J22" s="1"/>
      <c r="K22" s="1"/>
      <c r="L22" s="48"/>
      <c r="M22" s="48"/>
      <c r="N22" s="48"/>
      <c r="O22" s="48"/>
      <c r="P22" s="48"/>
      <c r="Q22" s="48"/>
      <c r="R22" s="48"/>
      <c r="S22" s="48"/>
      <c r="T22" s="48"/>
      <c r="U22" s="48"/>
      <c r="V22" s="48"/>
      <c r="W22" s="48"/>
      <c r="X22" s="44"/>
      <c r="Y22" s="44"/>
      <c r="Z22" s="44"/>
    </row>
    <row r="23" spans="1:26" ht="15" customHeight="1" x14ac:dyDescent="0.25">
      <c r="A23" s="48"/>
      <c r="B23" s="74">
        <v>7</v>
      </c>
      <c r="C23" s="23" t="str">
        <f t="array" ref="C23">INDEX('ORC. SINTÉTICO - DES'!$E:$E,MATCH($B23,'ORC. SINTÉTICO - DES'!$B:$B,0))</f>
        <v>ESQUADRIAS</v>
      </c>
      <c r="D23" s="78"/>
      <c r="E23" s="76">
        <f>SUM('ORC. SINTÉTICO - DES'!P121:P148)</f>
        <v>158930.79</v>
      </c>
      <c r="F23" s="77">
        <f t="shared" si="0"/>
        <v>6.2899999999999998E-2</v>
      </c>
      <c r="G23" s="44"/>
      <c r="H23" s="260"/>
      <c r="I23" s="1"/>
      <c r="J23" s="1"/>
      <c r="K23" s="1"/>
      <c r="L23" s="48"/>
      <c r="M23" s="48"/>
      <c r="N23" s="48"/>
      <c r="O23" s="48"/>
      <c r="P23" s="48"/>
      <c r="Q23" s="48"/>
      <c r="R23" s="48"/>
      <c r="S23" s="48"/>
      <c r="T23" s="48"/>
      <c r="U23" s="48"/>
      <c r="V23" s="48"/>
      <c r="W23" s="48"/>
      <c r="X23" s="44"/>
      <c r="Y23" s="44"/>
      <c r="Z23" s="44"/>
    </row>
    <row r="24" spans="1:26" ht="15" customHeight="1" x14ac:dyDescent="0.25">
      <c r="A24" s="48"/>
      <c r="B24" s="74">
        <v>8</v>
      </c>
      <c r="C24" s="23" t="str">
        <f t="array" ref="C24">INDEX('ORC. SINTÉTICO - DES'!$E:$E,MATCH($B24,'ORC. SINTÉTICO - DES'!$B:$B,0))</f>
        <v>REVESTIMENTO DE PAREDE</v>
      </c>
      <c r="D24" s="75"/>
      <c r="E24" s="76">
        <f>SUM('ORC. SINTÉTICO - DES'!P151:P155)</f>
        <v>100133.78</v>
      </c>
      <c r="F24" s="77">
        <f t="shared" si="0"/>
        <v>3.9600000000000003E-2</v>
      </c>
      <c r="G24" s="44"/>
      <c r="H24" s="260"/>
      <c r="I24" s="1"/>
      <c r="J24" s="1"/>
      <c r="K24" s="1"/>
      <c r="L24" s="48"/>
      <c r="M24" s="48"/>
      <c r="N24" s="48"/>
      <c r="O24" s="48"/>
      <c r="P24" s="48"/>
      <c r="Q24" s="48"/>
      <c r="R24" s="48"/>
      <c r="S24" s="48"/>
      <c r="T24" s="48"/>
      <c r="U24" s="48"/>
      <c r="V24" s="48"/>
      <c r="W24" s="48"/>
      <c r="X24" s="44"/>
      <c r="Y24" s="44"/>
      <c r="Z24" s="44"/>
    </row>
    <row r="25" spans="1:26" ht="15" customHeight="1" x14ac:dyDescent="0.25">
      <c r="A25" s="48"/>
      <c r="B25" s="74">
        <v>9</v>
      </c>
      <c r="C25" s="23" t="str">
        <f t="array" ref="C25">INDEX('ORC. SINTÉTICO - DES'!$E:$E,MATCH($B25,'ORC. SINTÉTICO - DES'!$B:$B,0))</f>
        <v>REVESTIMENTO DE PISO INTERNO</v>
      </c>
      <c r="D25" s="75"/>
      <c r="E25" s="76">
        <f>SUM('ORC. SINTÉTICO - DES'!P158:P164)</f>
        <v>110674.51</v>
      </c>
      <c r="F25" s="77">
        <f t="shared" si="0"/>
        <v>4.3799999999999999E-2</v>
      </c>
      <c r="G25" s="44"/>
      <c r="H25" s="260"/>
      <c r="I25" s="1"/>
      <c r="J25" s="1"/>
      <c r="K25" s="1"/>
      <c r="L25" s="48"/>
      <c r="M25" s="48"/>
      <c r="N25" s="48"/>
      <c r="O25" s="48"/>
      <c r="P25" s="48"/>
      <c r="Q25" s="48"/>
      <c r="R25" s="48"/>
      <c r="S25" s="48"/>
      <c r="T25" s="48"/>
      <c r="U25" s="48"/>
      <c r="V25" s="48"/>
      <c r="W25" s="48"/>
      <c r="X25" s="44"/>
      <c r="Y25" s="44"/>
      <c r="Z25" s="44"/>
    </row>
    <row r="26" spans="1:26" ht="15" customHeight="1" x14ac:dyDescent="0.25">
      <c r="A26" s="48"/>
      <c r="B26" s="74">
        <v>10</v>
      </c>
      <c r="C26" s="23" t="str">
        <f t="array" ref="C26">INDEX('ORC. SINTÉTICO - DES'!$E:$E,MATCH($B26,'ORC. SINTÉTICO - DES'!$B:$B,0))</f>
        <v>REVESTIMENTO DE PISO EXTERNO</v>
      </c>
      <c r="D26" s="75"/>
      <c r="E26" s="76">
        <f>SUM('ORC. SINTÉTICO - DES'!P167)</f>
        <v>49854.21</v>
      </c>
      <c r="F26" s="77">
        <f t="shared" si="0"/>
        <v>1.9699999999999999E-2</v>
      </c>
      <c r="G26" s="44"/>
      <c r="H26" s="260"/>
      <c r="I26" s="1"/>
      <c r="J26" s="1"/>
      <c r="K26" s="1"/>
      <c r="L26" s="48"/>
      <c r="M26" s="48"/>
      <c r="N26" s="48"/>
      <c r="O26" s="48"/>
      <c r="P26" s="48"/>
      <c r="Q26" s="48"/>
      <c r="R26" s="48"/>
      <c r="S26" s="48"/>
      <c r="T26" s="48"/>
      <c r="U26" s="48"/>
      <c r="V26" s="48"/>
      <c r="W26" s="48"/>
      <c r="X26" s="44"/>
      <c r="Y26" s="44"/>
      <c r="Z26" s="44"/>
    </row>
    <row r="27" spans="1:26" ht="15" customHeight="1" x14ac:dyDescent="0.25">
      <c r="A27" s="48"/>
      <c r="B27" s="74">
        <v>11</v>
      </c>
      <c r="C27" s="23" t="str">
        <f t="array" ref="C27">INDEX('ORC. SINTÉTICO - DES'!$E:$E,MATCH($B27,'ORC. SINTÉTICO - DES'!$B:$B,0))</f>
        <v>REVESTIMENTO DE TETO</v>
      </c>
      <c r="D27" s="75"/>
      <c r="E27" s="76">
        <f>SUM('ORC. SINTÉTICO - DES'!P170)</f>
        <v>45112.78</v>
      </c>
      <c r="F27" s="77">
        <f t="shared" si="0"/>
        <v>1.78E-2</v>
      </c>
      <c r="G27" s="44"/>
      <c r="H27" s="260"/>
      <c r="I27" s="1"/>
      <c r="J27" s="1"/>
      <c r="K27" s="1"/>
      <c r="L27" s="48"/>
      <c r="M27" s="48"/>
      <c r="N27" s="48"/>
      <c r="O27" s="48"/>
      <c r="P27" s="48"/>
      <c r="Q27" s="48"/>
      <c r="R27" s="48"/>
      <c r="S27" s="48"/>
      <c r="T27" s="48"/>
      <c r="U27" s="48"/>
      <c r="V27" s="48"/>
      <c r="W27" s="48"/>
      <c r="X27" s="44"/>
      <c r="Y27" s="44"/>
      <c r="Z27" s="44"/>
    </row>
    <row r="28" spans="1:26" ht="15" customHeight="1" x14ac:dyDescent="0.25">
      <c r="A28" s="48"/>
      <c r="B28" s="74">
        <v>12</v>
      </c>
      <c r="C28" s="23" t="str">
        <f t="array" ref="C28">INDEX('ORC. SINTÉTICO - DES'!$E:$E,MATCH($B28,'ORC. SINTÉTICO - DES'!$B:$B,0))</f>
        <v>PINTURA</v>
      </c>
      <c r="D28" s="75"/>
      <c r="E28" s="76">
        <f>SUM('ORC. SINTÉTICO - DES'!P173:P183)</f>
        <v>88692.52</v>
      </c>
      <c r="F28" s="77">
        <f t="shared" si="0"/>
        <v>3.5099999999999999E-2</v>
      </c>
      <c r="G28" s="44"/>
      <c r="H28" s="260"/>
      <c r="I28" s="1"/>
      <c r="J28" s="1"/>
      <c r="K28" s="1"/>
      <c r="L28" s="48"/>
      <c r="M28" s="48"/>
      <c r="N28" s="48"/>
      <c r="O28" s="48"/>
      <c r="P28" s="48"/>
      <c r="Q28" s="48"/>
      <c r="R28" s="48"/>
      <c r="S28" s="48"/>
      <c r="T28" s="48"/>
      <c r="U28" s="48"/>
      <c r="V28" s="48"/>
      <c r="W28" s="48"/>
      <c r="X28" s="44"/>
      <c r="Y28" s="44"/>
      <c r="Z28" s="44"/>
    </row>
    <row r="29" spans="1:26" ht="15" customHeight="1" x14ac:dyDescent="0.25">
      <c r="A29" s="48"/>
      <c r="B29" s="74">
        <v>13</v>
      </c>
      <c r="C29" s="23" t="str">
        <f t="array" ref="C29">INDEX('ORC. SINTÉTICO - DES'!$E:$E,MATCH($B29,'ORC. SINTÉTICO - DES'!$B:$B,0))</f>
        <v>MARMORARIA</v>
      </c>
      <c r="D29" s="75"/>
      <c r="E29" s="76">
        <f>SUM('ORC. SINTÉTICO - DES'!P185)</f>
        <v>16690.61</v>
      </c>
      <c r="F29" s="77">
        <f t="shared" si="0"/>
        <v>6.6E-3</v>
      </c>
      <c r="G29" s="44"/>
      <c r="H29" s="260"/>
      <c r="I29" s="1"/>
      <c r="J29" s="1"/>
      <c r="K29" s="1"/>
      <c r="L29" s="48"/>
      <c r="M29" s="48"/>
      <c r="N29" s="48"/>
      <c r="O29" s="48"/>
      <c r="P29" s="48"/>
      <c r="Q29" s="48"/>
      <c r="R29" s="48"/>
      <c r="S29" s="48"/>
      <c r="T29" s="48"/>
      <c r="U29" s="48"/>
      <c r="V29" s="48"/>
      <c r="W29" s="48"/>
      <c r="X29" s="44"/>
      <c r="Y29" s="44"/>
      <c r="Z29" s="44"/>
    </row>
    <row r="30" spans="1:26" ht="15" customHeight="1" x14ac:dyDescent="0.25">
      <c r="A30" s="48"/>
      <c r="B30" s="74">
        <v>14</v>
      </c>
      <c r="C30" s="23" t="str">
        <f t="array" ref="C30">INDEX('ORC. SINTÉTICO - DES'!$E:$E,MATCH($B30,'ORC. SINTÉTICO - DES'!$B:$B,0))</f>
        <v>LOUÇAS, METAIS E ACESSÓRIOS</v>
      </c>
      <c r="D30" s="75"/>
      <c r="E30" s="76">
        <f>SUM('ORC. SINTÉTICO - DES'!P188:P212)</f>
        <v>71641</v>
      </c>
      <c r="F30" s="77">
        <f t="shared" si="0"/>
        <v>2.8299999999999999E-2</v>
      </c>
      <c r="G30" s="44"/>
      <c r="H30" s="260"/>
      <c r="I30" s="1"/>
      <c r="J30" s="1"/>
      <c r="K30" s="1"/>
      <c r="L30" s="48"/>
      <c r="M30" s="48"/>
      <c r="N30" s="48"/>
      <c r="O30" s="48"/>
      <c r="P30" s="48"/>
      <c r="Q30" s="48"/>
      <c r="R30" s="48"/>
      <c r="S30" s="48"/>
      <c r="T30" s="48"/>
      <c r="U30" s="48"/>
      <c r="V30" s="48"/>
      <c r="W30" s="48"/>
      <c r="X30" s="44"/>
      <c r="Y30" s="44"/>
      <c r="Z30" s="44"/>
    </row>
    <row r="31" spans="1:26" ht="15" customHeight="1" x14ac:dyDescent="0.25">
      <c r="A31" s="48"/>
      <c r="B31" s="74">
        <v>15</v>
      </c>
      <c r="C31" s="23" t="str">
        <f t="array" ref="C31">INDEX('ORC. SINTÉTICO - DES'!$E:$E,MATCH($B31,'ORC. SINTÉTICO - DES'!$B:$B,0))</f>
        <v>INSTALAÇÕES HIDROSSANITÁRIAS</v>
      </c>
      <c r="D31" s="75"/>
      <c r="E31" s="76">
        <f>SUM('ORC. SINTÉTICO - DES'!P215:P323)</f>
        <v>153783.25</v>
      </c>
      <c r="F31" s="77">
        <f t="shared" si="0"/>
        <v>6.08E-2</v>
      </c>
      <c r="G31" s="44"/>
      <c r="H31" s="260"/>
      <c r="I31" s="1"/>
      <c r="J31" s="1"/>
      <c r="K31" s="1"/>
      <c r="L31" s="48"/>
      <c r="M31" s="48"/>
      <c r="N31" s="48"/>
      <c r="O31" s="48"/>
      <c r="P31" s="48"/>
      <c r="Q31" s="48"/>
      <c r="R31" s="48"/>
      <c r="S31" s="48"/>
      <c r="T31" s="48"/>
      <c r="U31" s="48"/>
      <c r="V31" s="48"/>
      <c r="W31" s="48"/>
      <c r="X31" s="44"/>
      <c r="Y31" s="44"/>
      <c r="Z31" s="44"/>
    </row>
    <row r="32" spans="1:26" ht="15" customHeight="1" x14ac:dyDescent="0.25">
      <c r="A32" s="48"/>
      <c r="B32" s="74">
        <v>16</v>
      </c>
      <c r="C32" s="23" t="str">
        <f t="array" ref="C32">INDEX('ORC. SINTÉTICO - DES'!$E:$E,MATCH($B32,'ORC. SINTÉTICO - DES'!$B:$B,0))</f>
        <v>INSTALAÇÕES ELÉTRICAS</v>
      </c>
      <c r="D32" s="75"/>
      <c r="E32" s="76">
        <f>SUM('ORC. SINTÉTICO - DES'!P326:P433)</f>
        <v>297473.64</v>
      </c>
      <c r="F32" s="77">
        <f t="shared" si="0"/>
        <v>0.1176</v>
      </c>
      <c r="G32" s="44"/>
      <c r="H32" s="260"/>
      <c r="I32" s="1"/>
      <c r="J32" s="1"/>
      <c r="K32" s="1"/>
      <c r="L32" s="48"/>
      <c r="M32" s="48"/>
      <c r="N32" s="48"/>
      <c r="O32" s="48"/>
      <c r="P32" s="48"/>
      <c r="Q32" s="48"/>
      <c r="R32" s="48"/>
      <c r="S32" s="48"/>
      <c r="T32" s="48"/>
      <c r="U32" s="48"/>
      <c r="V32" s="48"/>
      <c r="W32" s="48"/>
      <c r="X32" s="44"/>
      <c r="Y32" s="44"/>
      <c r="Z32" s="44"/>
    </row>
    <row r="33" spans="1:26" ht="15" customHeight="1" x14ac:dyDescent="0.25">
      <c r="A33" s="48"/>
      <c r="B33" s="74">
        <v>17</v>
      </c>
      <c r="C33" s="23" t="str">
        <f t="array" ref="C33">INDEX('ORC. SINTÉTICO - DES'!$E:$E,MATCH($B33,'ORC. SINTÉTICO - DES'!$B:$B,0))</f>
        <v>CLIMATIZAÇÃO</v>
      </c>
      <c r="D33" s="75"/>
      <c r="E33" s="76">
        <f>SUM('ORC. SINTÉTICO - DES'!P436:P452)</f>
        <v>111453.74</v>
      </c>
      <c r="F33" s="77">
        <f t="shared" si="0"/>
        <v>4.41E-2</v>
      </c>
      <c r="G33" s="44"/>
      <c r="H33" s="260"/>
      <c r="I33" s="1"/>
      <c r="J33" s="1"/>
      <c r="K33" s="1"/>
      <c r="L33" s="48"/>
      <c r="M33" s="48"/>
      <c r="N33" s="48"/>
      <c r="O33" s="48"/>
      <c r="P33" s="48"/>
      <c r="Q33" s="48"/>
      <c r="R33" s="48"/>
      <c r="S33" s="48"/>
      <c r="T33" s="48"/>
      <c r="U33" s="48"/>
      <c r="V33" s="48"/>
      <c r="W33" s="48"/>
      <c r="X33" s="44"/>
      <c r="Y33" s="44"/>
      <c r="Z33" s="44"/>
    </row>
    <row r="34" spans="1:26" ht="15" customHeight="1" x14ac:dyDescent="0.25">
      <c r="A34" s="48"/>
      <c r="B34" s="74">
        <v>18</v>
      </c>
      <c r="C34" s="23" t="str">
        <f t="array" ref="C34">INDEX('ORC. SINTÉTICO - DES'!$E:$E,MATCH($B34,'ORC. SINTÉTICO - DES'!$B:$B,0))</f>
        <v>DADOS E VOZ</v>
      </c>
      <c r="D34" s="75"/>
      <c r="E34" s="76">
        <f>SUM('ORC. SINTÉTICO - DES'!P454:P460)</f>
        <v>7345.76</v>
      </c>
      <c r="F34" s="77">
        <f t="shared" si="0"/>
        <v>2.8999999999999998E-3</v>
      </c>
      <c r="G34" s="44"/>
      <c r="H34" s="260"/>
      <c r="I34" s="1"/>
      <c r="J34" s="1"/>
      <c r="K34" s="1"/>
      <c r="L34" s="48"/>
      <c r="M34" s="48"/>
      <c r="N34" s="48"/>
      <c r="O34" s="48"/>
      <c r="P34" s="48"/>
      <c r="Q34" s="48"/>
      <c r="R34" s="48"/>
      <c r="S34" s="48"/>
      <c r="T34" s="48"/>
      <c r="U34" s="48"/>
      <c r="V34" s="48"/>
      <c r="W34" s="48"/>
      <c r="X34" s="44"/>
      <c r="Y34" s="44"/>
      <c r="Z34" s="44"/>
    </row>
    <row r="35" spans="1:26" ht="15" customHeight="1" x14ac:dyDescent="0.25">
      <c r="A35" s="48"/>
      <c r="B35" s="74">
        <v>19</v>
      </c>
      <c r="C35" s="23" t="str">
        <f t="array" ref="C35">INDEX('ORC. SINTÉTICO - DES'!$E:$E,MATCH($B35,'ORC. SINTÉTICO - DES'!$B:$B,0))</f>
        <v>GASES MEDICINAIS</v>
      </c>
      <c r="D35" s="75"/>
      <c r="E35" s="76">
        <f>SUM('ORC. SINTÉTICO - DES'!P462:P469)</f>
        <v>11655.01</v>
      </c>
      <c r="F35" s="77">
        <f t="shared" si="0"/>
        <v>4.5999999999999999E-3</v>
      </c>
      <c r="G35" s="44"/>
      <c r="H35" s="260"/>
      <c r="I35" s="1"/>
      <c r="J35" s="1"/>
      <c r="K35" s="1"/>
      <c r="L35" s="48"/>
      <c r="M35" s="48"/>
      <c r="N35" s="48"/>
      <c r="O35" s="48"/>
      <c r="P35" s="48"/>
      <c r="Q35" s="48"/>
      <c r="R35" s="48"/>
      <c r="S35" s="48"/>
      <c r="T35" s="48"/>
      <c r="U35" s="48"/>
      <c r="V35" s="48"/>
      <c r="W35" s="48"/>
      <c r="X35" s="44"/>
      <c r="Y35" s="44"/>
      <c r="Z35" s="44"/>
    </row>
    <row r="36" spans="1:26" ht="15" customHeight="1" x14ac:dyDescent="0.25">
      <c r="A36" s="48"/>
      <c r="B36" s="74">
        <v>20</v>
      </c>
      <c r="C36" s="23" t="str">
        <f t="array" ref="C36">INDEX('ORC. SINTÉTICO - DES'!$E:$E,MATCH($B36,'ORC. SINTÉTICO - DES'!$B:$B,0))</f>
        <v>URBANIZAÇÃO</v>
      </c>
      <c r="D36" s="75"/>
      <c r="E36" s="76">
        <f>SUM('ORC. SINTÉTICO - DES'!P472:P477)</f>
        <v>10281.57</v>
      </c>
      <c r="F36" s="77">
        <f t="shared" si="0"/>
        <v>4.1000000000000003E-3</v>
      </c>
      <c r="G36" s="44"/>
      <c r="H36" s="260"/>
      <c r="I36" s="1"/>
      <c r="J36" s="1"/>
      <c r="K36" s="1"/>
      <c r="L36" s="48"/>
      <c r="M36" s="48"/>
      <c r="N36" s="48"/>
      <c r="O36" s="48"/>
      <c r="P36" s="48"/>
      <c r="Q36" s="48"/>
      <c r="R36" s="48"/>
      <c r="S36" s="48"/>
      <c r="T36" s="48"/>
      <c r="U36" s="48"/>
      <c r="V36" s="48"/>
      <c r="W36" s="48"/>
      <c r="X36" s="44"/>
      <c r="Y36" s="44"/>
      <c r="Z36" s="44"/>
    </row>
    <row r="37" spans="1:26" ht="15" customHeight="1" x14ac:dyDescent="0.25">
      <c r="A37" s="48"/>
      <c r="B37" s="74">
        <v>21</v>
      </c>
      <c r="C37" s="23" t="str">
        <f t="array" ref="C37">INDEX('ORC. SINTÉTICO - DES'!$E:$E,MATCH($B37,'ORC. SINTÉTICO - DES'!$B:$B,0))</f>
        <v>SERVIÇOS COMPLEMENTARES</v>
      </c>
      <c r="D37" s="75"/>
      <c r="E37" s="76">
        <f>SUM('ORC. SINTÉTICO - DES'!P479:P480)</f>
        <v>8923.0300000000007</v>
      </c>
      <c r="F37" s="77">
        <f>IFERROR(E37/$E$39,"-")+0.0001</f>
        <v>3.5999999999999999E-3</v>
      </c>
      <c r="G37" s="44"/>
      <c r="H37" s="218"/>
      <c r="I37" s="1"/>
      <c r="J37" s="1"/>
      <c r="K37" s="1"/>
      <c r="L37" s="48"/>
      <c r="M37" s="48"/>
      <c r="N37" s="48"/>
      <c r="O37" s="48"/>
      <c r="P37" s="48"/>
      <c r="Q37" s="48"/>
      <c r="R37" s="48"/>
      <c r="S37" s="48"/>
      <c r="T37" s="48"/>
      <c r="U37" s="48"/>
      <c r="V37" s="48"/>
      <c r="W37" s="48"/>
      <c r="X37" s="44"/>
      <c r="Y37" s="44"/>
      <c r="Z37" s="44"/>
    </row>
    <row r="38" spans="1:26" ht="15" customHeight="1" x14ac:dyDescent="0.25">
      <c r="A38" s="66"/>
      <c r="B38" s="72"/>
      <c r="C38" s="79"/>
      <c r="D38" s="79"/>
      <c r="E38" s="72"/>
      <c r="F38" s="72"/>
      <c r="G38" s="44"/>
      <c r="H38" s="218"/>
      <c r="I38" s="1"/>
      <c r="J38" s="1"/>
      <c r="K38" s="1"/>
      <c r="L38" s="48"/>
      <c r="M38" s="48"/>
      <c r="N38" s="48"/>
      <c r="O38" s="48"/>
      <c r="P38" s="48"/>
      <c r="Q38" s="48"/>
      <c r="R38" s="48"/>
      <c r="S38" s="48"/>
      <c r="T38" s="48"/>
      <c r="U38" s="48"/>
      <c r="V38" s="48"/>
      <c r="W38" s="48"/>
      <c r="X38" s="48"/>
      <c r="Y38" s="48"/>
      <c r="Z38" s="48"/>
    </row>
    <row r="39" spans="1:26" ht="15" customHeight="1" x14ac:dyDescent="0.25">
      <c r="A39" s="66"/>
      <c r="B39" s="342" t="s">
        <v>24</v>
      </c>
      <c r="C39" s="343"/>
      <c r="D39" s="80"/>
      <c r="E39" s="80">
        <f>SUBTOTAL(9,E17:E37)</f>
        <v>2528635.65</v>
      </c>
      <c r="F39" s="70">
        <f>SUBTOTAL(9,F17:F37)</f>
        <v>1</v>
      </c>
      <c r="G39" s="44"/>
      <c r="H39" s="218"/>
      <c r="I39" s="1"/>
      <c r="J39" s="1"/>
      <c r="K39" s="1"/>
      <c r="L39" s="48"/>
      <c r="M39" s="48"/>
      <c r="N39" s="48"/>
      <c r="O39" s="48"/>
      <c r="P39" s="48"/>
      <c r="Q39" s="48"/>
      <c r="R39" s="48"/>
      <c r="S39" s="48"/>
      <c r="T39" s="48"/>
      <c r="U39" s="48"/>
      <c r="V39" s="48"/>
      <c r="W39" s="48"/>
      <c r="X39" s="48"/>
      <c r="Y39" s="48"/>
      <c r="Z39" s="48"/>
    </row>
    <row r="40" spans="1:26" ht="15" customHeight="1" x14ac:dyDescent="0.25">
      <c r="A40" s="66"/>
      <c r="B40" s="65"/>
      <c r="C40" s="65"/>
      <c r="D40" s="65"/>
      <c r="E40" s="65"/>
      <c r="F40" s="65"/>
      <c r="G40" s="44"/>
      <c r="H40" s="218"/>
      <c r="I40" s="81"/>
      <c r="J40" s="257"/>
      <c r="K40" s="1"/>
      <c r="L40" s="48"/>
      <c r="M40" s="48"/>
      <c r="N40" s="48"/>
      <c r="O40" s="48"/>
      <c r="P40" s="48"/>
      <c r="Q40" s="48"/>
      <c r="R40" s="48"/>
      <c r="S40" s="48"/>
      <c r="T40" s="48"/>
      <c r="U40" s="48"/>
      <c r="V40" s="48"/>
      <c r="W40" s="48"/>
      <c r="X40" s="48"/>
      <c r="Y40" s="48"/>
      <c r="Z40" s="48"/>
    </row>
    <row r="41" spans="1:26" ht="15" customHeight="1" x14ac:dyDescent="0.25">
      <c r="A41" s="48"/>
      <c r="B41" s="82" t="s">
        <v>25</v>
      </c>
      <c r="C41" s="83"/>
      <c r="D41" s="83"/>
      <c r="E41" s="83"/>
      <c r="F41" s="84"/>
      <c r="G41" s="44"/>
      <c r="H41" s="48"/>
      <c r="I41" s="257"/>
      <c r="J41" s="257"/>
      <c r="K41" s="1"/>
      <c r="L41" s="48"/>
      <c r="M41" s="48"/>
      <c r="N41" s="48"/>
      <c r="O41" s="48"/>
      <c r="P41" s="48"/>
      <c r="Q41" s="48"/>
      <c r="R41" s="48"/>
      <c r="S41" s="48"/>
      <c r="T41" s="48"/>
      <c r="U41" s="48"/>
      <c r="V41" s="48"/>
      <c r="W41" s="48"/>
      <c r="X41" s="48"/>
      <c r="Y41" s="48"/>
      <c r="Z41" s="48"/>
    </row>
    <row r="42" spans="1:26" ht="15" customHeight="1" x14ac:dyDescent="0.25">
      <c r="A42" s="48"/>
      <c r="B42" s="351" t="s">
        <v>1444</v>
      </c>
      <c r="C42" s="352"/>
      <c r="D42" s="352"/>
      <c r="E42" s="352"/>
      <c r="F42" s="353"/>
      <c r="G42" s="44"/>
      <c r="H42" s="85"/>
      <c r="I42" s="1"/>
      <c r="J42" s="1"/>
      <c r="K42" s="1"/>
      <c r="L42" s="48"/>
      <c r="M42" s="48"/>
      <c r="N42" s="48"/>
      <c r="O42" s="48"/>
      <c r="P42" s="48"/>
      <c r="Q42" s="48"/>
      <c r="R42" s="48"/>
      <c r="S42" s="48"/>
      <c r="T42" s="48"/>
      <c r="U42" s="48"/>
      <c r="V42" s="48"/>
      <c r="W42" s="48"/>
      <c r="X42" s="48"/>
      <c r="Y42" s="48"/>
      <c r="Z42" s="48"/>
    </row>
    <row r="43" spans="1:26" ht="15" customHeight="1" x14ac:dyDescent="0.25">
      <c r="A43" s="48"/>
      <c r="B43" s="354"/>
      <c r="C43" s="355"/>
      <c r="D43" s="355"/>
      <c r="E43" s="355"/>
      <c r="F43" s="356"/>
      <c r="G43" s="44"/>
      <c r="H43" s="48"/>
      <c r="I43" s="1"/>
      <c r="J43" s="1"/>
      <c r="K43" s="1"/>
      <c r="L43" s="48"/>
      <c r="M43" s="48"/>
      <c r="N43" s="48"/>
      <c r="O43" s="48"/>
      <c r="P43" s="48"/>
      <c r="Q43" s="48"/>
      <c r="R43" s="48"/>
      <c r="S43" s="48"/>
      <c r="T43" s="48"/>
      <c r="U43" s="48"/>
      <c r="V43" s="48"/>
      <c r="W43" s="48"/>
      <c r="X43" s="48"/>
      <c r="Y43" s="48"/>
      <c r="Z43" s="48"/>
    </row>
    <row r="44" spans="1:26" ht="15" customHeight="1" x14ac:dyDescent="0.25">
      <c r="A44" s="44"/>
      <c r="B44" s="44"/>
      <c r="C44" s="44"/>
      <c r="D44" s="44"/>
      <c r="E44" s="44"/>
      <c r="F44" s="44"/>
      <c r="G44" s="44"/>
      <c r="H44" s="44"/>
      <c r="I44" s="257"/>
      <c r="J44" s="1"/>
      <c r="K44" s="1"/>
      <c r="L44" s="48"/>
      <c r="M44" s="48"/>
      <c r="N44" s="48"/>
      <c r="O44" s="48"/>
      <c r="P44" s="44"/>
      <c r="Q44" s="44"/>
      <c r="R44" s="44"/>
      <c r="S44" s="44"/>
      <c r="T44" s="44"/>
      <c r="U44" s="44"/>
      <c r="V44" s="44"/>
      <c r="W44" s="44"/>
      <c r="X44" s="44"/>
      <c r="Y44" s="44"/>
      <c r="Z44" s="44"/>
    </row>
    <row r="45" spans="1:26" ht="15" customHeight="1" x14ac:dyDescent="0.25">
      <c r="A45" s="48"/>
      <c r="B45" s="86"/>
      <c r="C45" s="87"/>
      <c r="D45" s="87"/>
      <c r="E45" s="87"/>
      <c r="F45" s="88"/>
      <c r="G45" s="44"/>
      <c r="H45" s="48"/>
      <c r="I45" s="257"/>
      <c r="J45" s="1"/>
      <c r="K45" s="1"/>
      <c r="L45" s="48"/>
      <c r="M45" s="48"/>
      <c r="N45" s="48"/>
      <c r="O45" s="48"/>
      <c r="P45" s="48"/>
      <c r="Q45" s="48"/>
      <c r="R45" s="48"/>
      <c r="S45" s="48"/>
      <c r="T45" s="48"/>
      <c r="U45" s="48"/>
      <c r="V45" s="48"/>
      <c r="W45" s="48"/>
      <c r="X45" s="48"/>
      <c r="Y45" s="48"/>
      <c r="Z45" s="48"/>
    </row>
    <row r="46" spans="1:26" ht="15" customHeight="1" x14ac:dyDescent="0.25">
      <c r="A46" s="48"/>
      <c r="B46" s="89"/>
      <c r="C46" s="66"/>
      <c r="D46" s="66"/>
      <c r="E46" s="66"/>
      <c r="F46" s="90"/>
      <c r="G46" s="44"/>
      <c r="H46" s="48"/>
      <c r="I46" s="1"/>
      <c r="J46" s="1"/>
      <c r="K46" s="1"/>
      <c r="L46" s="48"/>
      <c r="M46" s="48"/>
      <c r="N46" s="48"/>
      <c r="O46" s="48"/>
      <c r="P46" s="48"/>
      <c r="Q46" s="48"/>
      <c r="R46" s="48"/>
      <c r="S46" s="48"/>
      <c r="T46" s="48"/>
      <c r="U46" s="48"/>
      <c r="V46" s="48"/>
      <c r="W46" s="48"/>
      <c r="X46" s="48"/>
      <c r="Y46" s="48"/>
      <c r="Z46" s="48"/>
    </row>
    <row r="47" spans="1:26" ht="15" customHeight="1" x14ac:dyDescent="0.25">
      <c r="A47" s="48"/>
      <c r="B47" s="89"/>
      <c r="C47" s="66"/>
      <c r="D47" s="66"/>
      <c r="E47" s="66"/>
      <c r="F47" s="90"/>
      <c r="G47" s="44"/>
      <c r="H47" s="48"/>
      <c r="I47" s="49"/>
      <c r="J47" s="48"/>
      <c r="K47" s="48"/>
      <c r="L47" s="48"/>
      <c r="M47" s="48"/>
      <c r="N47" s="48"/>
      <c r="O47" s="48"/>
      <c r="P47" s="48"/>
      <c r="Q47" s="48"/>
      <c r="R47" s="48"/>
      <c r="S47" s="48"/>
      <c r="T47" s="48"/>
      <c r="U47" s="48"/>
      <c r="V47" s="48"/>
      <c r="W47" s="48"/>
      <c r="X47" s="48"/>
      <c r="Y47" s="48"/>
      <c r="Z47" s="48"/>
    </row>
    <row r="48" spans="1:26" ht="15" customHeight="1" x14ac:dyDescent="0.25">
      <c r="A48" s="48"/>
      <c r="B48" s="89"/>
      <c r="C48" s="66"/>
      <c r="D48" s="66"/>
      <c r="E48" s="66"/>
      <c r="F48" s="90"/>
      <c r="G48" s="44"/>
      <c r="H48" s="48"/>
      <c r="I48" s="49"/>
      <c r="J48" s="48"/>
      <c r="K48" s="48"/>
      <c r="L48" s="48"/>
      <c r="M48" s="48"/>
      <c r="N48" s="48"/>
      <c r="O48" s="48"/>
      <c r="P48" s="48"/>
      <c r="Q48" s="48"/>
      <c r="R48" s="48"/>
      <c r="S48" s="48"/>
      <c r="T48" s="48"/>
      <c r="U48" s="48"/>
      <c r="V48" s="48"/>
      <c r="W48" s="48"/>
      <c r="X48" s="48"/>
      <c r="Y48" s="48"/>
      <c r="Z48" s="48"/>
    </row>
    <row r="49" spans="1:26" ht="15" customHeight="1" x14ac:dyDescent="0.25">
      <c r="A49" s="48"/>
      <c r="B49" s="344" t="s">
        <v>14</v>
      </c>
      <c r="C49" s="331"/>
      <c r="D49" s="331"/>
      <c r="E49" s="331"/>
      <c r="F49" s="332"/>
      <c r="G49" s="44"/>
      <c r="H49" s="48"/>
      <c r="I49" s="49"/>
      <c r="J49" s="48"/>
      <c r="K49" s="48"/>
      <c r="L49" s="48"/>
      <c r="M49" s="48"/>
      <c r="N49" s="48"/>
      <c r="O49" s="48"/>
      <c r="P49" s="48"/>
      <c r="Q49" s="48"/>
      <c r="R49" s="48"/>
      <c r="S49" s="48"/>
      <c r="T49" s="48"/>
      <c r="U49" s="48"/>
      <c r="V49" s="48"/>
      <c r="W49" s="48"/>
      <c r="X49" s="48"/>
      <c r="Y49" s="48"/>
      <c r="Z49" s="48"/>
    </row>
    <row r="50" spans="1:26" ht="15" customHeight="1" x14ac:dyDescent="0.25">
      <c r="A50" s="48"/>
      <c r="B50" s="345" t="str">
        <f>'DADOS GERAIS'!C24</f>
        <v>Kleber Viana Bueno Telles</v>
      </c>
      <c r="C50" s="331"/>
      <c r="D50" s="331"/>
      <c r="E50" s="331"/>
      <c r="F50" s="332"/>
      <c r="G50" s="44"/>
      <c r="H50" s="48"/>
      <c r="I50" s="49"/>
      <c r="J50" s="48"/>
      <c r="K50" s="48"/>
      <c r="L50" s="48"/>
      <c r="M50" s="48"/>
      <c r="N50" s="48"/>
      <c r="O50" s="48"/>
      <c r="P50" s="48"/>
      <c r="Q50" s="48"/>
      <c r="R50" s="48"/>
      <c r="S50" s="48"/>
      <c r="T50" s="48"/>
      <c r="U50" s="48"/>
      <c r="V50" s="48"/>
      <c r="W50" s="48"/>
      <c r="X50" s="48"/>
      <c r="Y50" s="48"/>
      <c r="Z50" s="48"/>
    </row>
    <row r="51" spans="1:26" ht="15" customHeight="1" x14ac:dyDescent="0.25">
      <c r="A51" s="48"/>
      <c r="B51" s="346" t="str">
        <f>'DADOS GERAIS'!C25</f>
        <v>Engenheiro Civil  - CREA 27115 DPE</v>
      </c>
      <c r="C51" s="331"/>
      <c r="D51" s="331"/>
      <c r="E51" s="331"/>
      <c r="F51" s="332"/>
      <c r="G51" s="44"/>
      <c r="H51" s="48"/>
      <c r="I51" s="49"/>
      <c r="J51" s="48"/>
      <c r="K51" s="48"/>
      <c r="L51" s="48"/>
      <c r="M51" s="48"/>
      <c r="N51" s="48"/>
      <c r="O51" s="48"/>
      <c r="P51" s="48"/>
      <c r="Q51" s="48"/>
      <c r="R51" s="48"/>
      <c r="S51" s="48"/>
      <c r="T51" s="48"/>
      <c r="U51" s="48"/>
      <c r="V51" s="48"/>
      <c r="W51" s="48"/>
      <c r="X51" s="48"/>
      <c r="Y51" s="48"/>
      <c r="Z51" s="48"/>
    </row>
    <row r="52" spans="1:26" ht="15" customHeight="1" x14ac:dyDescent="0.25">
      <c r="A52" s="48"/>
      <c r="B52" s="91"/>
      <c r="C52" s="42"/>
      <c r="D52" s="42"/>
      <c r="E52" s="42"/>
      <c r="F52" s="43"/>
      <c r="G52" s="44"/>
      <c r="H52" s="48"/>
      <c r="I52" s="49"/>
      <c r="J52" s="48"/>
      <c r="K52" s="48"/>
      <c r="L52" s="48"/>
      <c r="M52" s="48"/>
      <c r="N52" s="48"/>
      <c r="O52" s="48"/>
      <c r="P52" s="48"/>
      <c r="Q52" s="48"/>
      <c r="R52" s="48"/>
      <c r="S52" s="48"/>
      <c r="T52" s="48"/>
      <c r="U52" s="48"/>
      <c r="V52" s="48"/>
      <c r="W52" s="48"/>
      <c r="X52" s="48"/>
      <c r="Y52" s="48"/>
      <c r="Z52" s="48"/>
    </row>
    <row r="53" spans="1:26" ht="15.75" customHeight="1" x14ac:dyDescent="0.25">
      <c r="A53" s="48"/>
      <c r="B53" s="65"/>
      <c r="C53" s="4"/>
      <c r="D53" s="4"/>
      <c r="E53" s="4"/>
      <c r="F53" s="4"/>
      <c r="G53" s="44"/>
      <c r="H53" s="44"/>
      <c r="I53" s="45"/>
      <c r="J53" s="44"/>
      <c r="K53" s="44"/>
      <c r="L53" s="44"/>
      <c r="M53" s="44"/>
      <c r="N53" s="44"/>
      <c r="O53" s="44"/>
      <c r="P53" s="44"/>
      <c r="Q53" s="44"/>
      <c r="R53" s="44"/>
      <c r="S53" s="44"/>
      <c r="T53" s="44"/>
      <c r="U53" s="44"/>
      <c r="V53" s="44"/>
      <c r="W53" s="44"/>
      <c r="X53" s="44"/>
      <c r="Y53" s="44"/>
      <c r="Z53" s="44"/>
    </row>
    <row r="54" spans="1:26" ht="15.75" customHeight="1" x14ac:dyDescent="0.25">
      <c r="A54" s="44"/>
      <c r="B54" s="44"/>
      <c r="C54" s="44"/>
      <c r="D54" s="44"/>
      <c r="E54" s="44"/>
      <c r="F54" s="44"/>
      <c r="G54" s="44"/>
      <c r="H54" s="44"/>
      <c r="I54" s="45"/>
      <c r="J54" s="44"/>
      <c r="K54" s="44"/>
      <c r="L54" s="44"/>
      <c r="M54" s="44"/>
      <c r="N54" s="44"/>
      <c r="O54" s="44"/>
      <c r="P54" s="44"/>
      <c r="Q54" s="44"/>
      <c r="R54" s="44"/>
      <c r="S54" s="44"/>
      <c r="T54" s="44"/>
      <c r="U54" s="44"/>
      <c r="V54" s="44"/>
      <c r="W54" s="44"/>
      <c r="X54" s="44"/>
      <c r="Y54" s="44"/>
      <c r="Z54" s="44"/>
    </row>
    <row r="55" spans="1:26" ht="15.75" customHeight="1" x14ac:dyDescent="0.25">
      <c r="A55" s="44"/>
      <c r="B55" s="44"/>
      <c r="C55" s="44"/>
      <c r="D55" s="44"/>
      <c r="E55" s="44"/>
      <c r="F55" s="44"/>
      <c r="G55" s="44"/>
      <c r="H55" s="44"/>
      <c r="I55" s="45"/>
      <c r="J55" s="44"/>
      <c r="K55" s="44"/>
      <c r="L55" s="44"/>
      <c r="M55" s="44"/>
      <c r="N55" s="44"/>
      <c r="O55" s="44"/>
      <c r="P55" s="44"/>
      <c r="Q55" s="44"/>
      <c r="R55" s="44"/>
      <c r="S55" s="44"/>
      <c r="T55" s="44"/>
      <c r="U55" s="44"/>
      <c r="V55" s="44"/>
      <c r="W55" s="44"/>
      <c r="X55" s="44"/>
      <c r="Y55" s="44"/>
      <c r="Z55" s="44"/>
    </row>
    <row r="56" spans="1:26" ht="15.75" customHeight="1" x14ac:dyDescent="0.25">
      <c r="A56" s="44"/>
      <c r="B56" s="44"/>
      <c r="C56" s="44"/>
      <c r="D56" s="44"/>
      <c r="E56" s="44"/>
      <c r="F56" s="44"/>
      <c r="G56" s="44"/>
      <c r="H56" s="44"/>
      <c r="I56" s="45"/>
      <c r="J56" s="44"/>
      <c r="K56" s="44"/>
      <c r="L56" s="44"/>
      <c r="M56" s="44"/>
      <c r="N56" s="44"/>
      <c r="O56" s="44"/>
      <c r="P56" s="44"/>
      <c r="Q56" s="44"/>
      <c r="R56" s="44"/>
      <c r="S56" s="44"/>
      <c r="T56" s="44"/>
      <c r="U56" s="44"/>
      <c r="V56" s="44"/>
      <c r="W56" s="44"/>
      <c r="X56" s="44"/>
      <c r="Y56" s="44"/>
      <c r="Z56" s="44"/>
    </row>
    <row r="57" spans="1:26" ht="15.75" customHeight="1" x14ac:dyDescent="0.25">
      <c r="A57" s="44"/>
      <c r="B57" s="44"/>
      <c r="C57" s="44"/>
      <c r="D57" s="44"/>
      <c r="E57" s="44"/>
      <c r="F57" s="44"/>
      <c r="G57" s="44"/>
      <c r="H57" s="44"/>
      <c r="I57" s="45"/>
      <c r="J57" s="44"/>
      <c r="K57" s="44"/>
      <c r="L57" s="44"/>
      <c r="M57" s="44"/>
      <c r="N57" s="44"/>
      <c r="O57" s="44"/>
      <c r="P57" s="44"/>
      <c r="Q57" s="44"/>
      <c r="R57" s="44"/>
      <c r="S57" s="44"/>
      <c r="T57" s="44"/>
      <c r="U57" s="44"/>
      <c r="V57" s="44"/>
      <c r="W57" s="44"/>
      <c r="X57" s="44"/>
      <c r="Y57" s="44"/>
      <c r="Z57" s="44"/>
    </row>
    <row r="58" spans="1:26" ht="15.75" customHeight="1" x14ac:dyDescent="0.25">
      <c r="A58" s="44"/>
      <c r="B58" s="44"/>
      <c r="C58" s="44"/>
      <c r="D58" s="44"/>
      <c r="E58" s="44"/>
      <c r="F58" s="44"/>
      <c r="G58" s="44"/>
      <c r="H58" s="44"/>
      <c r="I58" s="45"/>
      <c r="J58" s="44"/>
      <c r="K58" s="44"/>
      <c r="L58" s="44"/>
      <c r="M58" s="44"/>
      <c r="N58" s="44"/>
      <c r="O58" s="44"/>
      <c r="P58" s="44"/>
      <c r="Q58" s="44"/>
      <c r="R58" s="44"/>
      <c r="S58" s="44"/>
      <c r="T58" s="44"/>
      <c r="U58" s="44"/>
      <c r="V58" s="44"/>
      <c r="W58" s="44"/>
      <c r="X58" s="44"/>
      <c r="Y58" s="44"/>
      <c r="Z58" s="44"/>
    </row>
    <row r="59" spans="1:26" ht="15.75" customHeight="1" x14ac:dyDescent="0.25">
      <c r="A59" s="44"/>
      <c r="B59" s="44"/>
      <c r="C59" s="44"/>
      <c r="D59" s="92"/>
      <c r="E59" s="92"/>
      <c r="F59" s="92"/>
      <c r="G59" s="44"/>
      <c r="H59" s="44"/>
      <c r="I59" s="45"/>
      <c r="J59" s="44"/>
      <c r="K59" s="44"/>
      <c r="L59" s="44"/>
      <c r="M59" s="44"/>
      <c r="N59" s="44"/>
      <c r="O59" s="44"/>
      <c r="P59" s="44"/>
      <c r="Q59" s="44"/>
      <c r="R59" s="44"/>
      <c r="S59" s="44"/>
      <c r="T59" s="44"/>
      <c r="U59" s="44"/>
      <c r="V59" s="44"/>
      <c r="W59" s="44"/>
      <c r="X59" s="44"/>
      <c r="Y59" s="44"/>
      <c r="Z59" s="44"/>
    </row>
    <row r="60" spans="1:26" ht="15.75" customHeight="1" x14ac:dyDescent="0.25">
      <c r="A60" s="44"/>
      <c r="B60" s="44"/>
      <c r="C60" s="44"/>
      <c r="D60" s="93"/>
      <c r="E60" s="93"/>
      <c r="F60" s="93"/>
      <c r="G60" s="44"/>
      <c r="H60" s="44"/>
      <c r="I60" s="45"/>
      <c r="J60" s="44"/>
      <c r="K60" s="44"/>
      <c r="L60" s="44"/>
      <c r="M60" s="44"/>
      <c r="N60" s="44"/>
      <c r="O60" s="44"/>
      <c r="P60" s="44"/>
      <c r="Q60" s="44"/>
      <c r="R60" s="44"/>
      <c r="S60" s="44"/>
      <c r="T60" s="44"/>
      <c r="U60" s="44"/>
      <c r="V60" s="44"/>
      <c r="W60" s="44"/>
      <c r="X60" s="44"/>
      <c r="Y60" s="44"/>
      <c r="Z60" s="44"/>
    </row>
    <row r="61" spans="1:26" ht="15.75" customHeight="1" x14ac:dyDescent="0.25">
      <c r="A61" s="44"/>
      <c r="B61" s="44"/>
      <c r="C61" s="44"/>
      <c r="D61" s="44"/>
      <c r="E61" s="44"/>
      <c r="F61" s="44"/>
      <c r="G61" s="44"/>
      <c r="H61" s="44"/>
      <c r="I61" s="45"/>
      <c r="J61" s="44"/>
      <c r="K61" s="44"/>
      <c r="L61" s="44"/>
      <c r="M61" s="44"/>
      <c r="N61" s="44"/>
      <c r="O61" s="44"/>
      <c r="P61" s="44"/>
      <c r="Q61" s="44"/>
      <c r="R61" s="44"/>
      <c r="S61" s="44"/>
      <c r="T61" s="44"/>
      <c r="U61" s="44"/>
      <c r="V61" s="44"/>
      <c r="W61" s="44"/>
      <c r="X61" s="44"/>
      <c r="Y61" s="44"/>
      <c r="Z61" s="44"/>
    </row>
    <row r="62" spans="1:26" ht="15.75" customHeight="1" x14ac:dyDescent="0.25">
      <c r="A62" s="44"/>
      <c r="B62" s="44"/>
      <c r="C62" s="44"/>
      <c r="D62" s="44"/>
      <c r="E62" s="44"/>
      <c r="F62" s="44"/>
      <c r="G62" s="44"/>
      <c r="H62" s="44"/>
      <c r="I62" s="45"/>
      <c r="J62" s="44"/>
      <c r="K62" s="44"/>
      <c r="L62" s="44"/>
      <c r="M62" s="44"/>
      <c r="N62" s="44"/>
      <c r="O62" s="44"/>
      <c r="P62" s="44"/>
      <c r="Q62" s="44"/>
      <c r="R62" s="44"/>
      <c r="S62" s="44"/>
      <c r="T62" s="44"/>
      <c r="U62" s="44"/>
      <c r="V62" s="44"/>
      <c r="W62" s="44"/>
      <c r="X62" s="44"/>
      <c r="Y62" s="44"/>
      <c r="Z62" s="44"/>
    </row>
    <row r="63" spans="1:26" ht="15.75" customHeight="1" x14ac:dyDescent="0.25">
      <c r="A63" s="44"/>
      <c r="B63" s="44"/>
      <c r="C63" s="44"/>
      <c r="D63" s="44"/>
      <c r="E63" s="44"/>
      <c r="F63" s="44"/>
      <c r="G63" s="44"/>
      <c r="H63" s="44"/>
      <c r="I63" s="45"/>
      <c r="J63" s="44"/>
      <c r="K63" s="44"/>
      <c r="L63" s="44"/>
      <c r="M63" s="44"/>
      <c r="N63" s="44"/>
      <c r="O63" s="44"/>
      <c r="P63" s="44"/>
      <c r="Q63" s="44"/>
      <c r="R63" s="44"/>
      <c r="S63" s="44"/>
      <c r="T63" s="44"/>
      <c r="U63" s="44"/>
      <c r="V63" s="44"/>
      <c r="W63" s="44"/>
      <c r="X63" s="44"/>
      <c r="Y63" s="44"/>
      <c r="Z63" s="44"/>
    </row>
    <row r="64" spans="1:26" ht="15.75" customHeight="1" x14ac:dyDescent="0.25">
      <c r="A64" s="44"/>
      <c r="B64" s="44"/>
      <c r="C64" s="44"/>
      <c r="D64" s="44"/>
      <c r="E64" s="44"/>
      <c r="F64" s="44"/>
      <c r="G64" s="44"/>
      <c r="H64" s="44"/>
      <c r="I64" s="45"/>
      <c r="J64" s="44"/>
      <c r="K64" s="44"/>
      <c r="L64" s="44"/>
      <c r="M64" s="44"/>
      <c r="N64" s="44"/>
      <c r="O64" s="44"/>
      <c r="P64" s="44"/>
      <c r="Q64" s="44"/>
      <c r="R64" s="44"/>
      <c r="S64" s="44"/>
      <c r="T64" s="44"/>
      <c r="U64" s="44"/>
      <c r="V64" s="44"/>
      <c r="W64" s="44"/>
      <c r="X64" s="44"/>
      <c r="Y64" s="44"/>
      <c r="Z64" s="44"/>
    </row>
    <row r="65" spans="1:26" ht="15.75" customHeight="1" x14ac:dyDescent="0.25">
      <c r="A65" s="44"/>
      <c r="B65" s="44"/>
      <c r="C65" s="44"/>
      <c r="D65" s="44"/>
      <c r="E65" s="44"/>
      <c r="F65" s="44"/>
      <c r="G65" s="44"/>
      <c r="H65" s="44"/>
      <c r="I65" s="45"/>
      <c r="J65" s="44"/>
      <c r="K65" s="44"/>
      <c r="L65" s="44"/>
      <c r="M65" s="44"/>
      <c r="N65" s="44"/>
      <c r="O65" s="44"/>
      <c r="P65" s="44"/>
      <c r="Q65" s="44"/>
      <c r="R65" s="44"/>
      <c r="S65" s="44"/>
      <c r="T65" s="44"/>
      <c r="U65" s="44"/>
      <c r="V65" s="44"/>
      <c r="W65" s="44"/>
      <c r="X65" s="44"/>
      <c r="Y65" s="44"/>
      <c r="Z65" s="44"/>
    </row>
    <row r="66" spans="1:26" ht="15.75" customHeight="1" x14ac:dyDescent="0.25">
      <c r="A66" s="44"/>
      <c r="B66" s="44"/>
      <c r="C66" s="44"/>
      <c r="D66" s="44"/>
      <c r="E66" s="44"/>
      <c r="F66" s="44"/>
      <c r="G66" s="44"/>
      <c r="H66" s="44"/>
      <c r="I66" s="45"/>
      <c r="J66" s="44"/>
      <c r="K66" s="44"/>
      <c r="L66" s="44"/>
      <c r="M66" s="44"/>
      <c r="N66" s="44"/>
      <c r="O66" s="44"/>
      <c r="P66" s="44"/>
      <c r="Q66" s="44"/>
      <c r="R66" s="44"/>
      <c r="S66" s="44"/>
      <c r="T66" s="44"/>
      <c r="U66" s="44"/>
      <c r="V66" s="44"/>
      <c r="W66" s="44"/>
      <c r="X66" s="44"/>
      <c r="Y66" s="44"/>
      <c r="Z66" s="44"/>
    </row>
    <row r="67" spans="1:26" ht="15.75" customHeight="1" x14ac:dyDescent="0.25">
      <c r="A67" s="44"/>
      <c r="B67" s="44"/>
      <c r="C67" s="44"/>
      <c r="D67" s="44"/>
      <c r="E67" s="44"/>
      <c r="F67" s="44"/>
      <c r="G67" s="44"/>
      <c r="H67" s="44"/>
      <c r="I67" s="45"/>
      <c r="J67" s="44"/>
      <c r="K67" s="44"/>
      <c r="L67" s="44"/>
      <c r="M67" s="44"/>
      <c r="N67" s="44"/>
      <c r="O67" s="44"/>
      <c r="P67" s="44"/>
      <c r="Q67" s="44"/>
      <c r="R67" s="44"/>
      <c r="S67" s="44"/>
      <c r="T67" s="44"/>
      <c r="U67" s="44"/>
      <c r="V67" s="44"/>
      <c r="W67" s="44"/>
      <c r="X67" s="44"/>
      <c r="Y67" s="44"/>
      <c r="Z67" s="44"/>
    </row>
    <row r="68" spans="1:26" ht="15.75" customHeight="1" x14ac:dyDescent="0.25">
      <c r="A68" s="44"/>
      <c r="B68" s="44"/>
      <c r="C68" s="44"/>
      <c r="D68" s="44"/>
      <c r="E68" s="44"/>
      <c r="F68" s="44"/>
      <c r="G68" s="44"/>
      <c r="H68" s="44"/>
      <c r="I68" s="45"/>
      <c r="J68" s="44"/>
      <c r="K68" s="44"/>
      <c r="L68" s="44"/>
      <c r="M68" s="44"/>
      <c r="N68" s="44"/>
      <c r="O68" s="44"/>
      <c r="P68" s="44"/>
      <c r="Q68" s="44"/>
      <c r="R68" s="44"/>
      <c r="S68" s="44"/>
      <c r="T68" s="44"/>
      <c r="U68" s="44"/>
      <c r="V68" s="44"/>
      <c r="W68" s="44"/>
      <c r="X68" s="44"/>
      <c r="Y68" s="44"/>
      <c r="Z68" s="44"/>
    </row>
    <row r="69" spans="1:26" ht="15.75" customHeight="1" x14ac:dyDescent="0.25">
      <c r="A69" s="44"/>
      <c r="B69" s="44"/>
      <c r="C69" s="44"/>
      <c r="D69" s="44"/>
      <c r="E69" s="44"/>
      <c r="F69" s="44"/>
      <c r="G69" s="44"/>
      <c r="H69" s="44"/>
      <c r="I69" s="45"/>
      <c r="J69" s="44"/>
      <c r="K69" s="44"/>
      <c r="L69" s="44"/>
      <c r="M69" s="44"/>
      <c r="N69" s="44"/>
      <c r="O69" s="44"/>
      <c r="P69" s="44"/>
      <c r="Q69" s="44"/>
      <c r="R69" s="44"/>
      <c r="S69" s="44"/>
      <c r="T69" s="44"/>
      <c r="U69" s="44"/>
      <c r="V69" s="44"/>
      <c r="W69" s="44"/>
      <c r="X69" s="44"/>
      <c r="Y69" s="44"/>
      <c r="Z69" s="44"/>
    </row>
    <row r="70" spans="1:26" ht="15.75" customHeight="1" x14ac:dyDescent="0.25">
      <c r="A70" s="44"/>
      <c r="B70" s="44"/>
      <c r="C70" s="44"/>
      <c r="D70" s="44"/>
      <c r="E70" s="44"/>
      <c r="F70" s="44"/>
      <c r="G70" s="44"/>
      <c r="H70" s="44"/>
      <c r="I70" s="45"/>
      <c r="J70" s="44"/>
      <c r="K70" s="44"/>
      <c r="L70" s="44"/>
      <c r="M70" s="44"/>
      <c r="N70" s="44"/>
      <c r="O70" s="44"/>
      <c r="P70" s="44"/>
      <c r="Q70" s="44"/>
      <c r="R70" s="44"/>
      <c r="S70" s="44"/>
      <c r="T70" s="44"/>
      <c r="U70" s="44"/>
      <c r="V70" s="44"/>
      <c r="W70" s="44"/>
      <c r="X70" s="44"/>
      <c r="Y70" s="44"/>
      <c r="Z70" s="44"/>
    </row>
    <row r="71" spans="1:26" ht="15.75" customHeight="1" x14ac:dyDescent="0.25">
      <c r="A71" s="44"/>
      <c r="B71" s="44"/>
      <c r="C71" s="44"/>
      <c r="D71" s="44"/>
      <c r="E71" s="44"/>
      <c r="F71" s="44"/>
      <c r="G71" s="44"/>
      <c r="H71" s="44"/>
      <c r="I71" s="45"/>
      <c r="J71" s="44"/>
      <c r="K71" s="44"/>
      <c r="L71" s="44"/>
      <c r="M71" s="44"/>
      <c r="N71" s="44"/>
      <c r="O71" s="44"/>
      <c r="P71" s="44"/>
      <c r="Q71" s="44"/>
      <c r="R71" s="44"/>
      <c r="S71" s="44"/>
      <c r="T71" s="44"/>
      <c r="U71" s="44"/>
      <c r="V71" s="44"/>
      <c r="W71" s="44"/>
      <c r="X71" s="44"/>
      <c r="Y71" s="44"/>
      <c r="Z71" s="44"/>
    </row>
    <row r="72" spans="1:26" ht="15.75" customHeight="1" x14ac:dyDescent="0.25">
      <c r="A72" s="44"/>
      <c r="B72" s="44"/>
      <c r="C72" s="44"/>
      <c r="D72" s="44"/>
      <c r="E72" s="44"/>
      <c r="F72" s="44"/>
      <c r="G72" s="44"/>
      <c r="H72" s="44"/>
      <c r="I72" s="45"/>
      <c r="J72" s="44"/>
      <c r="K72" s="44"/>
      <c r="L72" s="44"/>
      <c r="M72" s="44"/>
      <c r="N72" s="44"/>
      <c r="O72" s="44"/>
      <c r="P72" s="44"/>
      <c r="Q72" s="44"/>
      <c r="R72" s="44"/>
      <c r="S72" s="44"/>
      <c r="T72" s="44"/>
      <c r="U72" s="44"/>
      <c r="V72" s="44"/>
      <c r="W72" s="44"/>
      <c r="X72" s="44"/>
      <c r="Y72" s="44"/>
      <c r="Z72" s="44"/>
    </row>
    <row r="73" spans="1:26" ht="15.75" customHeight="1" x14ac:dyDescent="0.25">
      <c r="A73" s="44"/>
      <c r="B73" s="44"/>
      <c r="C73" s="44"/>
      <c r="D73" s="44"/>
      <c r="E73" s="44"/>
      <c r="F73" s="44"/>
      <c r="G73" s="44"/>
      <c r="H73" s="44"/>
      <c r="I73" s="45"/>
      <c r="J73" s="44"/>
      <c r="K73" s="44"/>
      <c r="L73" s="44"/>
      <c r="M73" s="44"/>
      <c r="N73" s="44"/>
      <c r="O73" s="44"/>
      <c r="P73" s="44"/>
      <c r="Q73" s="44"/>
      <c r="R73" s="44"/>
      <c r="S73" s="44"/>
      <c r="T73" s="44"/>
      <c r="U73" s="44"/>
      <c r="V73" s="44"/>
      <c r="W73" s="44"/>
      <c r="X73" s="44"/>
      <c r="Y73" s="44"/>
      <c r="Z73" s="44"/>
    </row>
    <row r="74" spans="1:26" ht="15.75" customHeight="1" x14ac:dyDescent="0.25">
      <c r="A74" s="44"/>
      <c r="B74" s="44"/>
      <c r="C74" s="44"/>
      <c r="D74" s="44"/>
      <c r="E74" s="44"/>
      <c r="F74" s="44"/>
      <c r="G74" s="44"/>
      <c r="H74" s="44"/>
      <c r="I74" s="45"/>
      <c r="J74" s="44"/>
      <c r="K74" s="44"/>
      <c r="L74" s="44"/>
      <c r="M74" s="44"/>
      <c r="N74" s="44"/>
      <c r="O74" s="44"/>
      <c r="P74" s="44"/>
      <c r="Q74" s="44"/>
      <c r="R74" s="44"/>
      <c r="S74" s="44"/>
      <c r="T74" s="44"/>
      <c r="U74" s="44"/>
      <c r="V74" s="44"/>
      <c r="W74" s="44"/>
      <c r="X74" s="44"/>
      <c r="Y74" s="44"/>
      <c r="Z74" s="44"/>
    </row>
    <row r="75" spans="1:26" ht="15.75" customHeight="1" x14ac:dyDescent="0.25">
      <c r="A75" s="44"/>
      <c r="B75" s="44"/>
      <c r="C75" s="44"/>
      <c r="D75" s="44"/>
      <c r="E75" s="44"/>
      <c r="F75" s="44"/>
      <c r="G75" s="44"/>
      <c r="H75" s="44"/>
      <c r="I75" s="45"/>
      <c r="J75" s="44"/>
      <c r="K75" s="44"/>
      <c r="L75" s="44"/>
      <c r="M75" s="44"/>
      <c r="N75" s="44"/>
      <c r="O75" s="44"/>
      <c r="P75" s="44"/>
      <c r="Q75" s="44"/>
      <c r="R75" s="44"/>
      <c r="S75" s="44"/>
      <c r="T75" s="44"/>
      <c r="U75" s="44"/>
      <c r="V75" s="44"/>
      <c r="W75" s="44"/>
      <c r="X75" s="44"/>
      <c r="Y75" s="44"/>
      <c r="Z75" s="44"/>
    </row>
    <row r="76" spans="1:26" ht="15.75" customHeight="1" x14ac:dyDescent="0.25">
      <c r="A76" s="44"/>
      <c r="B76" s="44"/>
      <c r="C76" s="44"/>
      <c r="D76" s="44"/>
      <c r="E76" s="44"/>
      <c r="F76" s="44"/>
      <c r="G76" s="44"/>
      <c r="H76" s="44"/>
      <c r="I76" s="45"/>
      <c r="J76" s="44"/>
      <c r="K76" s="44"/>
      <c r="L76" s="44"/>
      <c r="M76" s="44"/>
      <c r="N76" s="44"/>
      <c r="O76" s="44"/>
      <c r="P76" s="44"/>
      <c r="Q76" s="44"/>
      <c r="R76" s="44"/>
      <c r="S76" s="44"/>
      <c r="T76" s="44"/>
      <c r="U76" s="44"/>
      <c r="V76" s="44"/>
      <c r="W76" s="44"/>
      <c r="X76" s="44"/>
      <c r="Y76" s="44"/>
      <c r="Z76" s="44"/>
    </row>
    <row r="77" spans="1:26" ht="15.75" customHeight="1" x14ac:dyDescent="0.25">
      <c r="A77" s="44"/>
      <c r="B77" s="44"/>
      <c r="C77" s="44"/>
      <c r="D77" s="44"/>
      <c r="E77" s="44"/>
      <c r="F77" s="44"/>
      <c r="G77" s="44"/>
      <c r="H77" s="44"/>
      <c r="I77" s="45"/>
      <c r="J77" s="44"/>
      <c r="K77" s="44"/>
      <c r="L77" s="44"/>
      <c r="M77" s="44"/>
      <c r="N77" s="44"/>
      <c r="O77" s="44"/>
      <c r="P77" s="44"/>
      <c r="Q77" s="44"/>
      <c r="R77" s="44"/>
      <c r="S77" s="44"/>
      <c r="T77" s="44"/>
      <c r="U77" s="44"/>
      <c r="V77" s="44"/>
      <c r="W77" s="44"/>
      <c r="X77" s="44"/>
      <c r="Y77" s="44"/>
      <c r="Z77" s="44"/>
    </row>
    <row r="78" spans="1:26" ht="15.75" customHeight="1" x14ac:dyDescent="0.25">
      <c r="A78" s="44"/>
      <c r="B78" s="44"/>
      <c r="C78" s="44"/>
      <c r="D78" s="44"/>
      <c r="E78" s="44"/>
      <c r="F78" s="44"/>
      <c r="G78" s="44"/>
      <c r="H78" s="44"/>
      <c r="I78" s="45"/>
      <c r="J78" s="44"/>
      <c r="K78" s="44"/>
      <c r="L78" s="44"/>
      <c r="M78" s="44"/>
      <c r="N78" s="44"/>
      <c r="O78" s="44"/>
      <c r="P78" s="44"/>
      <c r="Q78" s="44"/>
      <c r="R78" s="44"/>
      <c r="S78" s="44"/>
      <c r="T78" s="44"/>
      <c r="U78" s="44"/>
      <c r="V78" s="44"/>
      <c r="W78" s="44"/>
      <c r="X78" s="44"/>
      <c r="Y78" s="44"/>
      <c r="Z78" s="44"/>
    </row>
    <row r="79" spans="1:26" ht="15.75" customHeight="1" x14ac:dyDescent="0.25">
      <c r="A79" s="44"/>
      <c r="B79" s="44"/>
      <c r="C79" s="44"/>
      <c r="D79" s="44"/>
      <c r="E79" s="44"/>
      <c r="F79" s="44"/>
      <c r="G79" s="44"/>
      <c r="H79" s="44"/>
      <c r="I79" s="45"/>
      <c r="J79" s="44"/>
      <c r="K79" s="44"/>
      <c r="L79" s="44"/>
      <c r="M79" s="44"/>
      <c r="N79" s="44"/>
      <c r="O79" s="44"/>
      <c r="P79" s="44"/>
      <c r="Q79" s="44"/>
      <c r="R79" s="44"/>
      <c r="S79" s="44"/>
      <c r="T79" s="44"/>
      <c r="U79" s="44"/>
      <c r="V79" s="44"/>
      <c r="W79" s="44"/>
      <c r="X79" s="44"/>
      <c r="Y79" s="44"/>
      <c r="Z79" s="44"/>
    </row>
    <row r="80" spans="1:26" ht="15.75" customHeight="1" x14ac:dyDescent="0.25">
      <c r="A80" s="44"/>
      <c r="B80" s="44"/>
      <c r="C80" s="44"/>
      <c r="D80" s="44"/>
      <c r="E80" s="44"/>
      <c r="F80" s="44"/>
      <c r="G80" s="44"/>
      <c r="H80" s="44"/>
      <c r="I80" s="45"/>
      <c r="J80" s="44"/>
      <c r="K80" s="44"/>
      <c r="L80" s="44"/>
      <c r="M80" s="44"/>
      <c r="N80" s="44"/>
      <c r="O80" s="44"/>
      <c r="P80" s="44"/>
      <c r="Q80" s="44"/>
      <c r="R80" s="44"/>
      <c r="S80" s="44"/>
      <c r="T80" s="44"/>
      <c r="U80" s="44"/>
      <c r="V80" s="44"/>
      <c r="W80" s="44"/>
      <c r="X80" s="44"/>
      <c r="Y80" s="44"/>
      <c r="Z80" s="44"/>
    </row>
    <row r="81" spans="1:26" ht="15.75" customHeight="1" x14ac:dyDescent="0.25">
      <c r="A81" s="44"/>
      <c r="B81" s="44"/>
      <c r="C81" s="44"/>
      <c r="D81" s="44"/>
      <c r="E81" s="44"/>
      <c r="F81" s="44"/>
      <c r="G81" s="44"/>
      <c r="H81" s="44"/>
      <c r="I81" s="45"/>
      <c r="J81" s="44"/>
      <c r="K81" s="44"/>
      <c r="L81" s="44"/>
      <c r="M81" s="44"/>
      <c r="N81" s="44"/>
      <c r="O81" s="44"/>
      <c r="P81" s="44"/>
      <c r="Q81" s="44"/>
      <c r="R81" s="44"/>
      <c r="S81" s="44"/>
      <c r="T81" s="44"/>
      <c r="U81" s="44"/>
      <c r="V81" s="44"/>
      <c r="W81" s="44"/>
      <c r="X81" s="44"/>
      <c r="Y81" s="44"/>
      <c r="Z81" s="44"/>
    </row>
    <row r="82" spans="1:26" ht="15.75" customHeight="1" x14ac:dyDescent="0.25">
      <c r="A82" s="44"/>
      <c r="B82" s="44"/>
      <c r="C82" s="44"/>
      <c r="D82" s="44"/>
      <c r="E82" s="44"/>
      <c r="F82" s="44"/>
      <c r="G82" s="44"/>
      <c r="H82" s="44"/>
      <c r="I82" s="45"/>
      <c r="J82" s="44"/>
      <c r="K82" s="44"/>
      <c r="L82" s="44"/>
      <c r="M82" s="44"/>
      <c r="N82" s="44"/>
      <c r="O82" s="44"/>
      <c r="P82" s="44"/>
      <c r="Q82" s="44"/>
      <c r="R82" s="44"/>
      <c r="S82" s="44"/>
      <c r="T82" s="44"/>
      <c r="U82" s="44"/>
      <c r="V82" s="44"/>
      <c r="W82" s="44"/>
      <c r="X82" s="44"/>
      <c r="Y82" s="44"/>
      <c r="Z82" s="44"/>
    </row>
    <row r="83" spans="1:26" ht="15.75" customHeight="1" x14ac:dyDescent="0.25">
      <c r="A83" s="44"/>
      <c r="B83" s="44"/>
      <c r="C83" s="44"/>
      <c r="D83" s="44"/>
      <c r="E83" s="44"/>
      <c r="F83" s="44"/>
      <c r="G83" s="44"/>
      <c r="H83" s="44"/>
      <c r="I83" s="45"/>
      <c r="J83" s="44"/>
      <c r="K83" s="44"/>
      <c r="L83" s="44"/>
      <c r="M83" s="44"/>
      <c r="N83" s="44"/>
      <c r="O83" s="44"/>
      <c r="P83" s="44"/>
      <c r="Q83" s="44"/>
      <c r="R83" s="44"/>
      <c r="S83" s="44"/>
      <c r="T83" s="44"/>
      <c r="U83" s="44"/>
      <c r="V83" s="44"/>
      <c r="W83" s="44"/>
      <c r="X83" s="44"/>
      <c r="Y83" s="44"/>
      <c r="Z83" s="44"/>
    </row>
    <row r="84" spans="1:26" ht="15.75" customHeight="1" x14ac:dyDescent="0.25">
      <c r="A84" s="44"/>
      <c r="B84" s="44"/>
      <c r="C84" s="44"/>
      <c r="D84" s="44"/>
      <c r="E84" s="44"/>
      <c r="F84" s="44"/>
      <c r="G84" s="44"/>
      <c r="H84" s="44"/>
      <c r="I84" s="45"/>
      <c r="J84" s="44"/>
      <c r="K84" s="44"/>
      <c r="L84" s="44"/>
      <c r="M84" s="44"/>
      <c r="N84" s="44"/>
      <c r="O84" s="44"/>
      <c r="P84" s="44"/>
      <c r="Q84" s="44"/>
      <c r="R84" s="44"/>
      <c r="S84" s="44"/>
      <c r="T84" s="44"/>
      <c r="U84" s="44"/>
      <c r="V84" s="44"/>
      <c r="W84" s="44"/>
      <c r="X84" s="44"/>
      <c r="Y84" s="44"/>
      <c r="Z84" s="44"/>
    </row>
    <row r="85" spans="1:26" ht="15.75" customHeight="1" x14ac:dyDescent="0.25">
      <c r="A85" s="44"/>
      <c r="B85" s="44"/>
      <c r="C85" s="44"/>
      <c r="D85" s="44"/>
      <c r="E85" s="44"/>
      <c r="F85" s="44"/>
      <c r="G85" s="44"/>
      <c r="H85" s="44"/>
      <c r="I85" s="45"/>
      <c r="J85" s="44"/>
      <c r="K85" s="44"/>
      <c r="L85" s="44"/>
      <c r="M85" s="44"/>
      <c r="N85" s="44"/>
      <c r="O85" s="44"/>
      <c r="P85" s="44"/>
      <c r="Q85" s="44"/>
      <c r="R85" s="44"/>
      <c r="S85" s="44"/>
      <c r="T85" s="44"/>
      <c r="U85" s="44"/>
      <c r="V85" s="44"/>
      <c r="W85" s="44"/>
      <c r="X85" s="44"/>
      <c r="Y85" s="44"/>
      <c r="Z85" s="44"/>
    </row>
    <row r="86" spans="1:26" ht="15.75" customHeight="1" x14ac:dyDescent="0.25">
      <c r="A86" s="44"/>
      <c r="B86" s="44"/>
      <c r="C86" s="44"/>
      <c r="D86" s="44"/>
      <c r="E86" s="44"/>
      <c r="F86" s="44"/>
      <c r="G86" s="44"/>
      <c r="H86" s="44"/>
      <c r="I86" s="45"/>
      <c r="J86" s="44"/>
      <c r="K86" s="44"/>
      <c r="L86" s="44"/>
      <c r="M86" s="44"/>
      <c r="N86" s="44"/>
      <c r="O86" s="44"/>
      <c r="P86" s="44"/>
      <c r="Q86" s="44"/>
      <c r="R86" s="44"/>
      <c r="S86" s="44"/>
      <c r="T86" s="44"/>
      <c r="U86" s="44"/>
      <c r="V86" s="44"/>
      <c r="W86" s="44"/>
      <c r="X86" s="44"/>
      <c r="Y86" s="44"/>
      <c r="Z86" s="44"/>
    </row>
    <row r="87" spans="1:26" ht="15.75" customHeight="1" x14ac:dyDescent="0.25">
      <c r="A87" s="44"/>
      <c r="B87" s="44"/>
      <c r="C87" s="44"/>
      <c r="D87" s="44"/>
      <c r="E87" s="44"/>
      <c r="F87" s="44"/>
      <c r="G87" s="44"/>
      <c r="H87" s="44"/>
      <c r="I87" s="45"/>
      <c r="J87" s="44"/>
      <c r="K87" s="44"/>
      <c r="L87" s="44"/>
      <c r="M87" s="44"/>
      <c r="N87" s="44"/>
      <c r="O87" s="44"/>
      <c r="P87" s="44"/>
      <c r="Q87" s="44"/>
      <c r="R87" s="44"/>
      <c r="S87" s="44"/>
      <c r="T87" s="44"/>
      <c r="U87" s="44"/>
      <c r="V87" s="44"/>
      <c r="W87" s="44"/>
      <c r="X87" s="44"/>
      <c r="Y87" s="44"/>
      <c r="Z87" s="44"/>
    </row>
    <row r="88" spans="1:26" ht="15.75" customHeight="1" x14ac:dyDescent="0.25">
      <c r="A88" s="44"/>
      <c r="B88" s="44"/>
      <c r="C88" s="44"/>
      <c r="D88" s="44"/>
      <c r="E88" s="44"/>
      <c r="F88" s="44"/>
      <c r="G88" s="44"/>
      <c r="H88" s="44"/>
      <c r="I88" s="45"/>
      <c r="J88" s="44"/>
      <c r="K88" s="44"/>
      <c r="L88" s="44"/>
      <c r="M88" s="44"/>
      <c r="N88" s="44"/>
      <c r="O88" s="44"/>
      <c r="P88" s="44"/>
      <c r="Q88" s="44"/>
      <c r="R88" s="44"/>
      <c r="S88" s="44"/>
      <c r="T88" s="44"/>
      <c r="U88" s="44"/>
      <c r="V88" s="44"/>
      <c r="W88" s="44"/>
      <c r="X88" s="44"/>
      <c r="Y88" s="44"/>
      <c r="Z88" s="44"/>
    </row>
    <row r="89" spans="1:26" ht="15.75" customHeight="1" x14ac:dyDescent="0.25">
      <c r="A89" s="44"/>
      <c r="B89" s="44"/>
      <c r="C89" s="44"/>
      <c r="D89" s="44"/>
      <c r="E89" s="44"/>
      <c r="F89" s="44"/>
      <c r="G89" s="44"/>
      <c r="H89" s="44"/>
      <c r="I89" s="45"/>
      <c r="J89" s="44"/>
      <c r="K89" s="44"/>
      <c r="L89" s="44"/>
      <c r="M89" s="44"/>
      <c r="N89" s="44"/>
      <c r="O89" s="44"/>
      <c r="P89" s="44"/>
      <c r="Q89" s="44"/>
      <c r="R89" s="44"/>
      <c r="S89" s="44"/>
      <c r="T89" s="44"/>
      <c r="U89" s="44"/>
      <c r="V89" s="44"/>
      <c r="W89" s="44"/>
      <c r="X89" s="44"/>
      <c r="Y89" s="44"/>
      <c r="Z89" s="44"/>
    </row>
    <row r="90" spans="1:26" ht="15.75" customHeight="1" x14ac:dyDescent="0.25">
      <c r="A90" s="44"/>
      <c r="B90" s="44"/>
      <c r="C90" s="44"/>
      <c r="D90" s="44"/>
      <c r="E90" s="44"/>
      <c r="F90" s="44"/>
      <c r="G90" s="44"/>
      <c r="H90" s="44"/>
      <c r="I90" s="45"/>
      <c r="J90" s="44"/>
      <c r="K90" s="44"/>
      <c r="L90" s="44"/>
      <c r="M90" s="44"/>
      <c r="N90" s="44"/>
      <c r="O90" s="44"/>
      <c r="P90" s="44"/>
      <c r="Q90" s="44"/>
      <c r="R90" s="44"/>
      <c r="S90" s="44"/>
      <c r="T90" s="44"/>
      <c r="U90" s="44"/>
      <c r="V90" s="44"/>
      <c r="W90" s="44"/>
      <c r="X90" s="44"/>
      <c r="Y90" s="44"/>
      <c r="Z90" s="44"/>
    </row>
    <row r="91" spans="1:26" ht="15.75" customHeight="1" x14ac:dyDescent="0.25">
      <c r="A91" s="44"/>
      <c r="B91" s="44"/>
      <c r="C91" s="44"/>
      <c r="D91" s="44"/>
      <c r="E91" s="44"/>
      <c r="F91" s="44"/>
      <c r="G91" s="44"/>
      <c r="H91" s="44"/>
      <c r="I91" s="45"/>
      <c r="J91" s="44"/>
      <c r="K91" s="44"/>
      <c r="L91" s="44"/>
      <c r="M91" s="44"/>
      <c r="N91" s="44"/>
      <c r="O91" s="44"/>
      <c r="P91" s="44"/>
      <c r="Q91" s="44"/>
      <c r="R91" s="44"/>
      <c r="S91" s="44"/>
      <c r="T91" s="44"/>
      <c r="U91" s="44"/>
      <c r="V91" s="44"/>
      <c r="W91" s="44"/>
      <c r="X91" s="44"/>
      <c r="Y91" s="44"/>
      <c r="Z91" s="44"/>
    </row>
    <row r="92" spans="1:26" ht="15.75" customHeight="1" x14ac:dyDescent="0.25">
      <c r="A92" s="44"/>
      <c r="B92" s="44"/>
      <c r="C92" s="44"/>
      <c r="D92" s="44"/>
      <c r="E92" s="44"/>
      <c r="F92" s="44"/>
      <c r="G92" s="44"/>
      <c r="H92" s="44"/>
      <c r="I92" s="45"/>
      <c r="J92" s="44"/>
      <c r="K92" s="44"/>
      <c r="L92" s="44"/>
      <c r="M92" s="44"/>
      <c r="N92" s="44"/>
      <c r="O92" s="44"/>
      <c r="P92" s="44"/>
      <c r="Q92" s="44"/>
      <c r="R92" s="44"/>
      <c r="S92" s="44"/>
      <c r="T92" s="44"/>
      <c r="U92" s="44"/>
      <c r="V92" s="44"/>
      <c r="W92" s="44"/>
      <c r="X92" s="44"/>
      <c r="Y92" s="44"/>
      <c r="Z92" s="44"/>
    </row>
    <row r="93" spans="1:26" ht="15.75" customHeight="1" x14ac:dyDescent="0.25">
      <c r="A93" s="44"/>
      <c r="B93" s="44"/>
      <c r="C93" s="44"/>
      <c r="D93" s="44"/>
      <c r="E93" s="44"/>
      <c r="F93" s="44"/>
      <c r="G93" s="44"/>
      <c r="H93" s="44"/>
      <c r="I93" s="45"/>
      <c r="J93" s="44"/>
      <c r="K93" s="44"/>
      <c r="L93" s="44"/>
      <c r="M93" s="44"/>
      <c r="N93" s="44"/>
      <c r="O93" s="44"/>
      <c r="P93" s="44"/>
      <c r="Q93" s="44"/>
      <c r="R93" s="44"/>
      <c r="S93" s="44"/>
      <c r="T93" s="44"/>
      <c r="U93" s="44"/>
      <c r="V93" s="44"/>
      <c r="W93" s="44"/>
      <c r="X93" s="44"/>
      <c r="Y93" s="44"/>
      <c r="Z93" s="44"/>
    </row>
    <row r="94" spans="1:26" ht="15.75" customHeight="1" x14ac:dyDescent="0.25">
      <c r="A94" s="44"/>
      <c r="B94" s="44"/>
      <c r="C94" s="44"/>
      <c r="D94" s="44"/>
      <c r="E94" s="44"/>
      <c r="F94" s="44"/>
      <c r="G94" s="44"/>
      <c r="H94" s="44"/>
      <c r="I94" s="45"/>
      <c r="J94" s="44"/>
      <c r="K94" s="44"/>
      <c r="L94" s="44"/>
      <c r="M94" s="44"/>
      <c r="N94" s="44"/>
      <c r="O94" s="44"/>
      <c r="P94" s="44"/>
      <c r="Q94" s="44"/>
      <c r="R94" s="44"/>
      <c r="S94" s="44"/>
      <c r="T94" s="44"/>
      <c r="U94" s="44"/>
      <c r="V94" s="44"/>
      <c r="W94" s="44"/>
      <c r="X94" s="44"/>
      <c r="Y94" s="44"/>
      <c r="Z94" s="44"/>
    </row>
    <row r="95" spans="1:26" ht="15.75" customHeight="1" x14ac:dyDescent="0.25">
      <c r="A95" s="44"/>
      <c r="B95" s="44"/>
      <c r="C95" s="44"/>
      <c r="D95" s="44"/>
      <c r="E95" s="44"/>
      <c r="F95" s="44"/>
      <c r="G95" s="44"/>
      <c r="H95" s="44"/>
      <c r="I95" s="45"/>
      <c r="J95" s="44"/>
      <c r="K95" s="44"/>
      <c r="L95" s="44"/>
      <c r="M95" s="44"/>
      <c r="N95" s="44"/>
      <c r="O95" s="44"/>
      <c r="P95" s="44"/>
      <c r="Q95" s="44"/>
      <c r="R95" s="44"/>
      <c r="S95" s="44"/>
      <c r="T95" s="44"/>
      <c r="U95" s="44"/>
      <c r="V95" s="44"/>
      <c r="W95" s="44"/>
      <c r="X95" s="44"/>
      <c r="Y95" s="44"/>
      <c r="Z95" s="44"/>
    </row>
    <row r="96" spans="1:26" ht="15.75" customHeight="1" x14ac:dyDescent="0.25">
      <c r="A96" s="44"/>
      <c r="B96" s="44"/>
      <c r="C96" s="44"/>
      <c r="D96" s="44"/>
      <c r="E96" s="44"/>
      <c r="F96" s="44"/>
      <c r="G96" s="44"/>
      <c r="H96" s="44"/>
      <c r="I96" s="45"/>
      <c r="J96" s="44"/>
      <c r="K96" s="44"/>
      <c r="L96" s="44"/>
      <c r="M96" s="44"/>
      <c r="N96" s="44"/>
      <c r="O96" s="44"/>
      <c r="P96" s="44"/>
      <c r="Q96" s="44"/>
      <c r="R96" s="44"/>
      <c r="S96" s="44"/>
      <c r="T96" s="44"/>
      <c r="U96" s="44"/>
      <c r="V96" s="44"/>
      <c r="W96" s="44"/>
      <c r="X96" s="44"/>
      <c r="Y96" s="44"/>
      <c r="Z96" s="44"/>
    </row>
    <row r="97" spans="1:26" ht="15.75" customHeight="1" x14ac:dyDescent="0.25">
      <c r="A97" s="44"/>
      <c r="B97" s="44"/>
      <c r="C97" s="44"/>
      <c r="D97" s="44"/>
      <c r="E97" s="44"/>
      <c r="F97" s="44"/>
      <c r="G97" s="44"/>
      <c r="H97" s="44"/>
      <c r="I97" s="45"/>
      <c r="J97" s="44"/>
      <c r="K97" s="44"/>
      <c r="L97" s="44"/>
      <c r="M97" s="44"/>
      <c r="N97" s="44"/>
      <c r="O97" s="44"/>
      <c r="P97" s="44"/>
      <c r="Q97" s="44"/>
      <c r="R97" s="44"/>
      <c r="S97" s="44"/>
      <c r="T97" s="44"/>
      <c r="U97" s="44"/>
      <c r="V97" s="44"/>
      <c r="W97" s="44"/>
      <c r="X97" s="44"/>
      <c r="Y97" s="44"/>
      <c r="Z97" s="44"/>
    </row>
    <row r="98" spans="1:26" ht="15.75" customHeight="1" x14ac:dyDescent="0.25">
      <c r="A98" s="44"/>
      <c r="B98" s="44"/>
      <c r="C98" s="44"/>
      <c r="D98" s="44"/>
      <c r="E98" s="44"/>
      <c r="F98" s="44"/>
      <c r="G98" s="44"/>
      <c r="H98" s="44"/>
      <c r="I98" s="45"/>
      <c r="J98" s="44"/>
      <c r="K98" s="44"/>
      <c r="L98" s="44"/>
      <c r="M98" s="44"/>
      <c r="N98" s="44"/>
      <c r="O98" s="44"/>
      <c r="P98" s="44"/>
      <c r="Q98" s="44"/>
      <c r="R98" s="44"/>
      <c r="S98" s="44"/>
      <c r="T98" s="44"/>
      <c r="U98" s="44"/>
      <c r="V98" s="44"/>
      <c r="W98" s="44"/>
      <c r="X98" s="44"/>
      <c r="Y98" s="44"/>
      <c r="Z98" s="44"/>
    </row>
    <row r="99" spans="1:26" ht="15.75" customHeight="1" x14ac:dyDescent="0.25">
      <c r="A99" s="44"/>
      <c r="B99" s="44"/>
      <c r="C99" s="44"/>
      <c r="D99" s="44"/>
      <c r="E99" s="44"/>
      <c r="F99" s="44"/>
      <c r="G99" s="44"/>
      <c r="H99" s="44"/>
      <c r="I99" s="45"/>
      <c r="J99" s="44"/>
      <c r="K99" s="44"/>
      <c r="L99" s="44"/>
      <c r="M99" s="44"/>
      <c r="N99" s="44"/>
      <c r="O99" s="44"/>
      <c r="P99" s="44"/>
      <c r="Q99" s="44"/>
      <c r="R99" s="44"/>
      <c r="S99" s="44"/>
      <c r="T99" s="44"/>
      <c r="U99" s="44"/>
      <c r="V99" s="44"/>
      <c r="W99" s="44"/>
      <c r="X99" s="44"/>
      <c r="Y99" s="44"/>
      <c r="Z99" s="44"/>
    </row>
    <row r="100" spans="1:26" ht="15.75" customHeight="1" x14ac:dyDescent="0.25">
      <c r="A100" s="44"/>
      <c r="B100" s="44"/>
      <c r="C100" s="44"/>
      <c r="D100" s="44"/>
      <c r="E100" s="44"/>
      <c r="F100" s="44"/>
      <c r="G100" s="44"/>
      <c r="H100" s="44"/>
      <c r="I100" s="45"/>
      <c r="J100" s="44"/>
      <c r="K100" s="44"/>
      <c r="L100" s="44"/>
      <c r="M100" s="44"/>
      <c r="N100" s="44"/>
      <c r="O100" s="44"/>
      <c r="P100" s="44"/>
      <c r="Q100" s="44"/>
      <c r="R100" s="44"/>
      <c r="S100" s="44"/>
      <c r="T100" s="44"/>
      <c r="U100" s="44"/>
      <c r="V100" s="44"/>
      <c r="W100" s="44"/>
      <c r="X100" s="44"/>
      <c r="Y100" s="44"/>
      <c r="Z100" s="44"/>
    </row>
    <row r="101" spans="1:26" ht="15.75" customHeight="1" x14ac:dyDescent="0.25">
      <c r="A101" s="44"/>
      <c r="B101" s="44"/>
      <c r="C101" s="44"/>
      <c r="D101" s="44"/>
      <c r="E101" s="44"/>
      <c r="F101" s="44"/>
      <c r="G101" s="44"/>
      <c r="H101" s="44"/>
      <c r="I101" s="45"/>
      <c r="J101" s="44"/>
      <c r="K101" s="44"/>
      <c r="L101" s="44"/>
      <c r="M101" s="44"/>
      <c r="N101" s="44"/>
      <c r="O101" s="44"/>
      <c r="P101" s="44"/>
      <c r="Q101" s="44"/>
      <c r="R101" s="44"/>
      <c r="S101" s="44"/>
      <c r="T101" s="44"/>
      <c r="U101" s="44"/>
      <c r="V101" s="44"/>
      <c r="W101" s="44"/>
      <c r="X101" s="44"/>
      <c r="Y101" s="44"/>
      <c r="Z101" s="44"/>
    </row>
    <row r="102" spans="1:26" ht="15.75" customHeight="1" x14ac:dyDescent="0.25">
      <c r="A102" s="44"/>
      <c r="B102" s="44"/>
      <c r="C102" s="44"/>
      <c r="D102" s="44"/>
      <c r="E102" s="44"/>
      <c r="F102" s="44"/>
      <c r="G102" s="44"/>
      <c r="H102" s="44"/>
      <c r="I102" s="45"/>
      <c r="J102" s="44"/>
      <c r="K102" s="44"/>
      <c r="L102" s="44"/>
      <c r="M102" s="44"/>
      <c r="N102" s="44"/>
      <c r="O102" s="44"/>
      <c r="P102" s="44"/>
      <c r="Q102" s="44"/>
      <c r="R102" s="44"/>
      <c r="S102" s="44"/>
      <c r="T102" s="44"/>
      <c r="U102" s="44"/>
      <c r="V102" s="44"/>
      <c r="W102" s="44"/>
      <c r="X102" s="44"/>
      <c r="Y102" s="44"/>
      <c r="Z102" s="44"/>
    </row>
    <row r="103" spans="1:26" ht="15.75" customHeight="1" x14ac:dyDescent="0.25">
      <c r="A103" s="44"/>
      <c r="B103" s="44"/>
      <c r="C103" s="44"/>
      <c r="D103" s="44"/>
      <c r="E103" s="44"/>
      <c r="F103" s="44"/>
      <c r="G103" s="44"/>
      <c r="H103" s="44"/>
      <c r="I103" s="45"/>
      <c r="J103" s="44"/>
      <c r="K103" s="44"/>
      <c r="L103" s="44"/>
      <c r="M103" s="44"/>
      <c r="N103" s="44"/>
      <c r="O103" s="44"/>
      <c r="P103" s="44"/>
      <c r="Q103" s="44"/>
      <c r="R103" s="44"/>
      <c r="S103" s="44"/>
      <c r="T103" s="44"/>
      <c r="U103" s="44"/>
      <c r="V103" s="44"/>
      <c r="W103" s="44"/>
      <c r="X103" s="44"/>
      <c r="Y103" s="44"/>
      <c r="Z103" s="44"/>
    </row>
    <row r="104" spans="1:26" ht="15.75" customHeight="1" x14ac:dyDescent="0.25">
      <c r="A104" s="44"/>
      <c r="B104" s="44"/>
      <c r="C104" s="44"/>
      <c r="D104" s="44"/>
      <c r="E104" s="44"/>
      <c r="F104" s="44"/>
      <c r="G104" s="44"/>
      <c r="H104" s="44"/>
      <c r="I104" s="45"/>
      <c r="J104" s="44"/>
      <c r="K104" s="44"/>
      <c r="L104" s="44"/>
      <c r="M104" s="44"/>
      <c r="N104" s="44"/>
      <c r="O104" s="44"/>
      <c r="P104" s="44"/>
      <c r="Q104" s="44"/>
      <c r="R104" s="44"/>
      <c r="S104" s="44"/>
      <c r="T104" s="44"/>
      <c r="U104" s="44"/>
      <c r="V104" s="44"/>
      <c r="W104" s="44"/>
      <c r="X104" s="44"/>
      <c r="Y104" s="44"/>
      <c r="Z104" s="44"/>
    </row>
    <row r="105" spans="1:26" ht="15.75" customHeight="1" x14ac:dyDescent="0.25">
      <c r="A105" s="44"/>
      <c r="B105" s="44"/>
      <c r="C105" s="44"/>
      <c r="D105" s="44"/>
      <c r="E105" s="44"/>
      <c r="F105" s="44"/>
      <c r="G105" s="44"/>
      <c r="H105" s="44"/>
      <c r="I105" s="45"/>
      <c r="J105" s="44"/>
      <c r="K105" s="44"/>
      <c r="L105" s="44"/>
      <c r="M105" s="44"/>
      <c r="N105" s="44"/>
      <c r="O105" s="44"/>
      <c r="P105" s="44"/>
      <c r="Q105" s="44"/>
      <c r="R105" s="44"/>
      <c r="S105" s="44"/>
      <c r="T105" s="44"/>
      <c r="U105" s="44"/>
      <c r="V105" s="44"/>
      <c r="W105" s="44"/>
      <c r="X105" s="44"/>
      <c r="Y105" s="44"/>
      <c r="Z105" s="44"/>
    </row>
    <row r="106" spans="1:26" ht="15.75" customHeight="1" x14ac:dyDescent="0.25">
      <c r="A106" s="44"/>
      <c r="B106" s="44"/>
      <c r="C106" s="44"/>
      <c r="D106" s="44"/>
      <c r="E106" s="44"/>
      <c r="F106" s="44"/>
      <c r="G106" s="44"/>
      <c r="H106" s="44"/>
      <c r="I106" s="45"/>
      <c r="J106" s="44"/>
      <c r="K106" s="44"/>
      <c r="L106" s="44"/>
      <c r="M106" s="44"/>
      <c r="N106" s="44"/>
      <c r="O106" s="44"/>
      <c r="P106" s="44"/>
      <c r="Q106" s="44"/>
      <c r="R106" s="44"/>
      <c r="S106" s="44"/>
      <c r="T106" s="44"/>
      <c r="U106" s="44"/>
      <c r="V106" s="44"/>
      <c r="W106" s="44"/>
      <c r="X106" s="44"/>
      <c r="Y106" s="44"/>
      <c r="Z106" s="44"/>
    </row>
    <row r="107" spans="1:26" ht="15.75" customHeight="1" x14ac:dyDescent="0.25">
      <c r="A107" s="44"/>
      <c r="B107" s="44"/>
      <c r="C107" s="44"/>
      <c r="D107" s="44"/>
      <c r="E107" s="44"/>
      <c r="F107" s="44"/>
      <c r="G107" s="44"/>
      <c r="H107" s="44"/>
      <c r="I107" s="45"/>
      <c r="J107" s="44"/>
      <c r="K107" s="44"/>
      <c r="L107" s="44"/>
      <c r="M107" s="44"/>
      <c r="N107" s="44"/>
      <c r="O107" s="44"/>
      <c r="P107" s="44"/>
      <c r="Q107" s="44"/>
      <c r="R107" s="44"/>
      <c r="S107" s="44"/>
      <c r="T107" s="44"/>
      <c r="U107" s="44"/>
      <c r="V107" s="44"/>
      <c r="W107" s="44"/>
      <c r="X107" s="44"/>
      <c r="Y107" s="44"/>
      <c r="Z107" s="44"/>
    </row>
    <row r="108" spans="1:26" ht="15.75" customHeight="1" x14ac:dyDescent="0.25">
      <c r="A108" s="44"/>
      <c r="B108" s="44"/>
      <c r="C108" s="44"/>
      <c r="D108" s="44"/>
      <c r="E108" s="44"/>
      <c r="F108" s="44"/>
      <c r="G108" s="44"/>
      <c r="H108" s="44"/>
      <c r="I108" s="45"/>
      <c r="J108" s="44"/>
      <c r="K108" s="44"/>
      <c r="L108" s="44"/>
      <c r="M108" s="44"/>
      <c r="N108" s="44"/>
      <c r="O108" s="44"/>
      <c r="P108" s="44"/>
      <c r="Q108" s="44"/>
      <c r="R108" s="44"/>
      <c r="S108" s="44"/>
      <c r="T108" s="44"/>
      <c r="U108" s="44"/>
      <c r="V108" s="44"/>
      <c r="W108" s="44"/>
      <c r="X108" s="44"/>
      <c r="Y108" s="44"/>
      <c r="Z108" s="44"/>
    </row>
    <row r="109" spans="1:26" ht="15.75" customHeight="1" x14ac:dyDescent="0.25">
      <c r="A109" s="44"/>
      <c r="B109" s="44"/>
      <c r="C109" s="44"/>
      <c r="D109" s="44"/>
      <c r="E109" s="44"/>
      <c r="F109" s="44"/>
      <c r="G109" s="44"/>
      <c r="H109" s="44"/>
      <c r="I109" s="45"/>
      <c r="J109" s="44"/>
      <c r="K109" s="44"/>
      <c r="L109" s="44"/>
      <c r="M109" s="44"/>
      <c r="N109" s="44"/>
      <c r="O109" s="44"/>
      <c r="P109" s="44"/>
      <c r="Q109" s="44"/>
      <c r="R109" s="44"/>
      <c r="S109" s="44"/>
      <c r="T109" s="44"/>
      <c r="U109" s="44"/>
      <c r="V109" s="44"/>
      <c r="W109" s="44"/>
      <c r="X109" s="44"/>
      <c r="Y109" s="44"/>
      <c r="Z109" s="44"/>
    </row>
    <row r="110" spans="1:26" ht="15.75" customHeight="1" x14ac:dyDescent="0.25">
      <c r="A110" s="44"/>
      <c r="B110" s="44"/>
      <c r="C110" s="44"/>
      <c r="D110" s="44"/>
      <c r="E110" s="44"/>
      <c r="F110" s="44"/>
      <c r="G110" s="44"/>
      <c r="H110" s="44"/>
      <c r="I110" s="45"/>
      <c r="J110" s="44"/>
      <c r="K110" s="44"/>
      <c r="L110" s="44"/>
      <c r="M110" s="44"/>
      <c r="N110" s="44"/>
      <c r="O110" s="44"/>
      <c r="P110" s="44"/>
      <c r="Q110" s="44"/>
      <c r="R110" s="44"/>
      <c r="S110" s="44"/>
      <c r="T110" s="44"/>
      <c r="U110" s="44"/>
      <c r="V110" s="44"/>
      <c r="W110" s="44"/>
      <c r="X110" s="44"/>
      <c r="Y110" s="44"/>
      <c r="Z110" s="44"/>
    </row>
    <row r="111" spans="1:26" ht="15.75" customHeight="1" x14ac:dyDescent="0.25">
      <c r="A111" s="44"/>
      <c r="B111" s="44"/>
      <c r="C111" s="44"/>
      <c r="D111" s="44"/>
      <c r="E111" s="44"/>
      <c r="F111" s="44"/>
      <c r="G111" s="44"/>
      <c r="H111" s="44"/>
      <c r="I111" s="45"/>
      <c r="J111" s="44"/>
      <c r="K111" s="44"/>
      <c r="L111" s="44"/>
      <c r="M111" s="44"/>
      <c r="N111" s="44"/>
      <c r="O111" s="44"/>
      <c r="P111" s="44"/>
      <c r="Q111" s="44"/>
      <c r="R111" s="44"/>
      <c r="S111" s="44"/>
      <c r="T111" s="44"/>
      <c r="U111" s="44"/>
      <c r="V111" s="44"/>
      <c r="W111" s="44"/>
      <c r="X111" s="44"/>
      <c r="Y111" s="44"/>
      <c r="Z111" s="44"/>
    </row>
    <row r="112" spans="1:26" ht="15.75" customHeight="1" x14ac:dyDescent="0.25">
      <c r="A112" s="44"/>
      <c r="B112" s="44"/>
      <c r="C112" s="44"/>
      <c r="D112" s="44"/>
      <c r="E112" s="44"/>
      <c r="F112" s="44"/>
      <c r="G112" s="44"/>
      <c r="H112" s="44"/>
      <c r="I112" s="45"/>
      <c r="J112" s="44"/>
      <c r="K112" s="44"/>
      <c r="L112" s="44"/>
      <c r="M112" s="44"/>
      <c r="N112" s="44"/>
      <c r="O112" s="44"/>
      <c r="P112" s="44"/>
      <c r="Q112" s="44"/>
      <c r="R112" s="44"/>
      <c r="S112" s="44"/>
      <c r="T112" s="44"/>
      <c r="U112" s="44"/>
      <c r="V112" s="44"/>
      <c r="W112" s="44"/>
      <c r="X112" s="44"/>
      <c r="Y112" s="44"/>
      <c r="Z112" s="44"/>
    </row>
    <row r="113" spans="1:26" ht="15.75" customHeight="1" x14ac:dyDescent="0.25">
      <c r="A113" s="44"/>
      <c r="B113" s="44"/>
      <c r="C113" s="44"/>
      <c r="D113" s="44"/>
      <c r="E113" s="44"/>
      <c r="F113" s="44"/>
      <c r="G113" s="44"/>
      <c r="H113" s="44"/>
      <c r="I113" s="45"/>
      <c r="J113" s="44"/>
      <c r="K113" s="44"/>
      <c r="L113" s="44"/>
      <c r="M113" s="44"/>
      <c r="N113" s="44"/>
      <c r="O113" s="44"/>
      <c r="P113" s="44"/>
      <c r="Q113" s="44"/>
      <c r="R113" s="44"/>
      <c r="S113" s="44"/>
      <c r="T113" s="44"/>
      <c r="U113" s="44"/>
      <c r="V113" s="44"/>
      <c r="W113" s="44"/>
      <c r="X113" s="44"/>
      <c r="Y113" s="44"/>
      <c r="Z113" s="44"/>
    </row>
    <row r="114" spans="1:26" ht="15.75" customHeight="1" x14ac:dyDescent="0.25">
      <c r="A114" s="44"/>
      <c r="B114" s="44"/>
      <c r="C114" s="44"/>
      <c r="D114" s="44"/>
      <c r="E114" s="44"/>
      <c r="F114" s="44"/>
      <c r="G114" s="44"/>
      <c r="H114" s="44"/>
      <c r="I114" s="45"/>
      <c r="J114" s="44"/>
      <c r="K114" s="44"/>
      <c r="L114" s="44"/>
      <c r="M114" s="44"/>
      <c r="N114" s="44"/>
      <c r="O114" s="44"/>
      <c r="P114" s="44"/>
      <c r="Q114" s="44"/>
      <c r="R114" s="44"/>
      <c r="S114" s="44"/>
      <c r="T114" s="44"/>
      <c r="U114" s="44"/>
      <c r="V114" s="44"/>
      <c r="W114" s="44"/>
      <c r="X114" s="44"/>
      <c r="Y114" s="44"/>
      <c r="Z114" s="44"/>
    </row>
    <row r="115" spans="1:26" ht="15.75" customHeight="1" x14ac:dyDescent="0.25">
      <c r="A115" s="44"/>
      <c r="B115" s="44"/>
      <c r="C115" s="44"/>
      <c r="D115" s="44"/>
      <c r="E115" s="44"/>
      <c r="F115" s="44"/>
      <c r="G115" s="44"/>
      <c r="H115" s="44"/>
      <c r="I115" s="45"/>
      <c r="J115" s="44"/>
      <c r="K115" s="44"/>
      <c r="L115" s="44"/>
      <c r="M115" s="44"/>
      <c r="N115" s="44"/>
      <c r="O115" s="44"/>
      <c r="P115" s="44"/>
      <c r="Q115" s="44"/>
      <c r="R115" s="44"/>
      <c r="S115" s="44"/>
      <c r="T115" s="44"/>
      <c r="U115" s="44"/>
      <c r="V115" s="44"/>
      <c r="W115" s="44"/>
      <c r="X115" s="44"/>
      <c r="Y115" s="44"/>
      <c r="Z115" s="44"/>
    </row>
    <row r="116" spans="1:26" ht="15.75" customHeight="1" x14ac:dyDescent="0.25">
      <c r="A116" s="44"/>
      <c r="B116" s="44"/>
      <c r="C116" s="44"/>
      <c r="D116" s="44"/>
      <c r="E116" s="44"/>
      <c r="F116" s="44"/>
      <c r="G116" s="44"/>
      <c r="H116" s="44"/>
      <c r="I116" s="45"/>
      <c r="J116" s="44"/>
      <c r="K116" s="44"/>
      <c r="L116" s="44"/>
      <c r="M116" s="44"/>
      <c r="N116" s="44"/>
      <c r="O116" s="44"/>
      <c r="P116" s="44"/>
      <c r="Q116" s="44"/>
      <c r="R116" s="44"/>
      <c r="S116" s="44"/>
      <c r="T116" s="44"/>
      <c r="U116" s="44"/>
      <c r="V116" s="44"/>
      <c r="W116" s="44"/>
      <c r="X116" s="44"/>
      <c r="Y116" s="44"/>
      <c r="Z116" s="44"/>
    </row>
    <row r="117" spans="1:26" ht="15.75" customHeight="1" x14ac:dyDescent="0.25">
      <c r="A117" s="44"/>
      <c r="B117" s="44"/>
      <c r="C117" s="44"/>
      <c r="D117" s="44"/>
      <c r="E117" s="44"/>
      <c r="F117" s="44"/>
      <c r="G117" s="44"/>
      <c r="H117" s="44"/>
      <c r="I117" s="45"/>
      <c r="J117" s="44"/>
      <c r="K117" s="44"/>
      <c r="L117" s="44"/>
      <c r="M117" s="44"/>
      <c r="N117" s="44"/>
      <c r="O117" s="44"/>
      <c r="P117" s="44"/>
      <c r="Q117" s="44"/>
      <c r="R117" s="44"/>
      <c r="S117" s="44"/>
      <c r="T117" s="44"/>
      <c r="U117" s="44"/>
      <c r="V117" s="44"/>
      <c r="W117" s="44"/>
      <c r="X117" s="44"/>
      <c r="Y117" s="44"/>
      <c r="Z117" s="44"/>
    </row>
    <row r="118" spans="1:26" ht="15.75" customHeight="1" x14ac:dyDescent="0.25">
      <c r="A118" s="44"/>
      <c r="B118" s="44"/>
      <c r="C118" s="44"/>
      <c r="D118" s="44"/>
      <c r="E118" s="44"/>
      <c r="F118" s="44"/>
      <c r="G118" s="44"/>
      <c r="H118" s="44"/>
      <c r="I118" s="45"/>
      <c r="J118" s="44"/>
      <c r="K118" s="44"/>
      <c r="L118" s="44"/>
      <c r="M118" s="44"/>
      <c r="N118" s="44"/>
      <c r="O118" s="44"/>
      <c r="P118" s="44"/>
      <c r="Q118" s="44"/>
      <c r="R118" s="44"/>
      <c r="S118" s="44"/>
      <c r="T118" s="44"/>
      <c r="U118" s="44"/>
      <c r="V118" s="44"/>
      <c r="W118" s="44"/>
      <c r="X118" s="44"/>
      <c r="Y118" s="44"/>
      <c r="Z118" s="44"/>
    </row>
    <row r="119" spans="1:26" ht="15.75" customHeight="1" x14ac:dyDescent="0.25">
      <c r="A119" s="44"/>
      <c r="B119" s="44"/>
      <c r="C119" s="44"/>
      <c r="D119" s="44"/>
      <c r="E119" s="44"/>
      <c r="F119" s="44"/>
      <c r="G119" s="44"/>
      <c r="H119" s="44"/>
      <c r="I119" s="45"/>
      <c r="J119" s="44"/>
      <c r="K119" s="44"/>
      <c r="L119" s="44"/>
      <c r="M119" s="44"/>
      <c r="N119" s="44"/>
      <c r="O119" s="44"/>
      <c r="P119" s="44"/>
      <c r="Q119" s="44"/>
      <c r="R119" s="44"/>
      <c r="S119" s="44"/>
      <c r="T119" s="44"/>
      <c r="U119" s="44"/>
      <c r="V119" s="44"/>
      <c r="W119" s="44"/>
      <c r="X119" s="44"/>
      <c r="Y119" s="44"/>
      <c r="Z119" s="44"/>
    </row>
    <row r="120" spans="1:26" ht="15.75" customHeight="1" x14ac:dyDescent="0.25">
      <c r="A120" s="44"/>
      <c r="B120" s="44"/>
      <c r="C120" s="44"/>
      <c r="D120" s="44"/>
      <c r="E120" s="44"/>
      <c r="F120" s="44"/>
      <c r="G120" s="44"/>
      <c r="H120" s="44"/>
      <c r="I120" s="45"/>
      <c r="J120" s="44"/>
      <c r="K120" s="44"/>
      <c r="L120" s="44"/>
      <c r="M120" s="44"/>
      <c r="N120" s="44"/>
      <c r="O120" s="44"/>
      <c r="P120" s="44"/>
      <c r="Q120" s="44"/>
      <c r="R120" s="44"/>
      <c r="S120" s="44"/>
      <c r="T120" s="44"/>
      <c r="U120" s="44"/>
      <c r="V120" s="44"/>
      <c r="W120" s="44"/>
      <c r="X120" s="44"/>
      <c r="Y120" s="44"/>
      <c r="Z120" s="44"/>
    </row>
    <row r="121" spans="1:26" ht="15.75" customHeight="1" x14ac:dyDescent="0.25">
      <c r="A121" s="44"/>
      <c r="B121" s="44"/>
      <c r="C121" s="44"/>
      <c r="D121" s="44"/>
      <c r="E121" s="44"/>
      <c r="F121" s="44"/>
      <c r="G121" s="44"/>
      <c r="H121" s="44"/>
      <c r="I121" s="45"/>
      <c r="J121" s="44"/>
      <c r="K121" s="44"/>
      <c r="L121" s="44"/>
      <c r="M121" s="44"/>
      <c r="N121" s="44"/>
      <c r="O121" s="44"/>
      <c r="P121" s="44"/>
      <c r="Q121" s="44"/>
      <c r="R121" s="44"/>
      <c r="S121" s="44"/>
      <c r="T121" s="44"/>
      <c r="U121" s="44"/>
      <c r="V121" s="44"/>
      <c r="W121" s="44"/>
      <c r="X121" s="44"/>
      <c r="Y121" s="44"/>
      <c r="Z121" s="44"/>
    </row>
    <row r="122" spans="1:26" ht="15.75" customHeight="1" x14ac:dyDescent="0.25">
      <c r="A122" s="44"/>
      <c r="B122" s="44"/>
      <c r="C122" s="44"/>
      <c r="D122" s="44"/>
      <c r="E122" s="44"/>
      <c r="F122" s="44"/>
      <c r="G122" s="44"/>
      <c r="H122" s="44"/>
      <c r="I122" s="45"/>
      <c r="J122" s="44"/>
      <c r="K122" s="44"/>
      <c r="L122" s="44"/>
      <c r="M122" s="44"/>
      <c r="N122" s="44"/>
      <c r="O122" s="44"/>
      <c r="P122" s="44"/>
      <c r="Q122" s="44"/>
      <c r="R122" s="44"/>
      <c r="S122" s="44"/>
      <c r="T122" s="44"/>
      <c r="U122" s="44"/>
      <c r="V122" s="44"/>
      <c r="W122" s="44"/>
      <c r="X122" s="44"/>
      <c r="Y122" s="44"/>
      <c r="Z122" s="44"/>
    </row>
    <row r="123" spans="1:26" ht="15.75" customHeight="1" x14ac:dyDescent="0.25">
      <c r="A123" s="44"/>
      <c r="B123" s="44"/>
      <c r="C123" s="44"/>
      <c r="D123" s="44"/>
      <c r="E123" s="44"/>
      <c r="F123" s="44"/>
      <c r="G123" s="44"/>
      <c r="H123" s="44"/>
      <c r="I123" s="45"/>
      <c r="J123" s="44"/>
      <c r="K123" s="44"/>
      <c r="L123" s="44"/>
      <c r="M123" s="44"/>
      <c r="N123" s="44"/>
      <c r="O123" s="44"/>
      <c r="P123" s="44"/>
      <c r="Q123" s="44"/>
      <c r="R123" s="44"/>
      <c r="S123" s="44"/>
      <c r="T123" s="44"/>
      <c r="U123" s="44"/>
      <c r="V123" s="44"/>
      <c r="W123" s="44"/>
      <c r="X123" s="44"/>
      <c r="Y123" s="44"/>
      <c r="Z123" s="44"/>
    </row>
    <row r="124" spans="1:26" ht="15.75" customHeight="1" x14ac:dyDescent="0.25">
      <c r="A124" s="44"/>
      <c r="B124" s="44"/>
      <c r="C124" s="44"/>
      <c r="D124" s="44"/>
      <c r="E124" s="44"/>
      <c r="F124" s="44"/>
      <c r="G124" s="44"/>
      <c r="H124" s="44"/>
      <c r="I124" s="45"/>
      <c r="J124" s="44"/>
      <c r="K124" s="44"/>
      <c r="L124" s="44"/>
      <c r="M124" s="44"/>
      <c r="N124" s="44"/>
      <c r="O124" s="44"/>
      <c r="P124" s="44"/>
      <c r="Q124" s="44"/>
      <c r="R124" s="44"/>
      <c r="S124" s="44"/>
      <c r="T124" s="44"/>
      <c r="U124" s="44"/>
      <c r="V124" s="44"/>
      <c r="W124" s="44"/>
      <c r="X124" s="44"/>
      <c r="Y124" s="44"/>
      <c r="Z124" s="44"/>
    </row>
    <row r="125" spans="1:26" ht="15.75" customHeight="1" x14ac:dyDescent="0.25">
      <c r="A125" s="44"/>
      <c r="B125" s="44"/>
      <c r="C125" s="44"/>
      <c r="D125" s="44"/>
      <c r="E125" s="44"/>
      <c r="F125" s="44"/>
      <c r="G125" s="44"/>
      <c r="H125" s="44"/>
      <c r="I125" s="45"/>
      <c r="J125" s="44"/>
      <c r="K125" s="44"/>
      <c r="L125" s="44"/>
      <c r="M125" s="44"/>
      <c r="N125" s="44"/>
      <c r="O125" s="44"/>
      <c r="P125" s="44"/>
      <c r="Q125" s="44"/>
      <c r="R125" s="44"/>
      <c r="S125" s="44"/>
      <c r="T125" s="44"/>
      <c r="U125" s="44"/>
      <c r="V125" s="44"/>
      <c r="W125" s="44"/>
      <c r="X125" s="44"/>
      <c r="Y125" s="44"/>
      <c r="Z125" s="44"/>
    </row>
    <row r="126" spans="1:26" ht="15.75" customHeight="1" x14ac:dyDescent="0.25">
      <c r="A126" s="44"/>
      <c r="B126" s="44"/>
      <c r="C126" s="44"/>
      <c r="D126" s="44"/>
      <c r="E126" s="44"/>
      <c r="F126" s="44"/>
      <c r="G126" s="44"/>
      <c r="H126" s="44"/>
      <c r="I126" s="45"/>
      <c r="J126" s="44"/>
      <c r="K126" s="44"/>
      <c r="L126" s="44"/>
      <c r="M126" s="44"/>
      <c r="N126" s="44"/>
      <c r="O126" s="44"/>
      <c r="P126" s="44"/>
      <c r="Q126" s="44"/>
      <c r="R126" s="44"/>
      <c r="S126" s="44"/>
      <c r="T126" s="44"/>
      <c r="U126" s="44"/>
      <c r="V126" s="44"/>
      <c r="W126" s="44"/>
      <c r="X126" s="44"/>
      <c r="Y126" s="44"/>
      <c r="Z126" s="44"/>
    </row>
    <row r="127" spans="1:26" ht="15.75" customHeight="1" x14ac:dyDescent="0.25">
      <c r="A127" s="44"/>
      <c r="B127" s="44"/>
      <c r="C127" s="44"/>
      <c r="D127" s="44"/>
      <c r="E127" s="44"/>
      <c r="F127" s="44"/>
      <c r="G127" s="44"/>
      <c r="H127" s="44"/>
      <c r="I127" s="45"/>
      <c r="J127" s="44"/>
      <c r="K127" s="44"/>
      <c r="L127" s="44"/>
      <c r="M127" s="44"/>
      <c r="N127" s="44"/>
      <c r="O127" s="44"/>
      <c r="P127" s="44"/>
      <c r="Q127" s="44"/>
      <c r="R127" s="44"/>
      <c r="S127" s="44"/>
      <c r="T127" s="44"/>
      <c r="U127" s="44"/>
      <c r="V127" s="44"/>
      <c r="W127" s="44"/>
      <c r="X127" s="44"/>
      <c r="Y127" s="44"/>
      <c r="Z127" s="44"/>
    </row>
    <row r="128" spans="1:26" ht="15.75" customHeight="1" x14ac:dyDescent="0.25">
      <c r="A128" s="44"/>
      <c r="B128" s="44"/>
      <c r="C128" s="44"/>
      <c r="D128" s="44"/>
      <c r="E128" s="44"/>
      <c r="F128" s="44"/>
      <c r="G128" s="44"/>
      <c r="H128" s="44"/>
      <c r="I128" s="45"/>
      <c r="J128" s="44"/>
      <c r="K128" s="44"/>
      <c r="L128" s="44"/>
      <c r="M128" s="44"/>
      <c r="N128" s="44"/>
      <c r="O128" s="44"/>
      <c r="P128" s="44"/>
      <c r="Q128" s="44"/>
      <c r="R128" s="44"/>
      <c r="S128" s="44"/>
      <c r="T128" s="44"/>
      <c r="U128" s="44"/>
      <c r="V128" s="44"/>
      <c r="W128" s="44"/>
      <c r="X128" s="44"/>
      <c r="Y128" s="44"/>
      <c r="Z128" s="44"/>
    </row>
    <row r="129" spans="1:26" ht="15.75" customHeight="1" x14ac:dyDescent="0.25">
      <c r="A129" s="44"/>
      <c r="B129" s="44"/>
      <c r="C129" s="44"/>
      <c r="D129" s="44"/>
      <c r="E129" s="44"/>
      <c r="F129" s="44"/>
      <c r="G129" s="44"/>
      <c r="H129" s="44"/>
      <c r="I129" s="45"/>
      <c r="J129" s="44"/>
      <c r="K129" s="44"/>
      <c r="L129" s="44"/>
      <c r="M129" s="44"/>
      <c r="N129" s="44"/>
      <c r="O129" s="44"/>
      <c r="P129" s="44"/>
      <c r="Q129" s="44"/>
      <c r="R129" s="44"/>
      <c r="S129" s="44"/>
      <c r="T129" s="44"/>
      <c r="U129" s="44"/>
      <c r="V129" s="44"/>
      <c r="W129" s="44"/>
      <c r="X129" s="44"/>
      <c r="Y129" s="44"/>
      <c r="Z129" s="44"/>
    </row>
    <row r="130" spans="1:26" ht="15.75" customHeight="1" x14ac:dyDescent="0.25">
      <c r="A130" s="44"/>
      <c r="B130" s="44"/>
      <c r="C130" s="44"/>
      <c r="D130" s="44"/>
      <c r="E130" s="44"/>
      <c r="F130" s="44"/>
      <c r="G130" s="44"/>
      <c r="H130" s="44"/>
      <c r="I130" s="45"/>
      <c r="J130" s="44"/>
      <c r="K130" s="44"/>
      <c r="L130" s="44"/>
      <c r="M130" s="44"/>
      <c r="N130" s="44"/>
      <c r="O130" s="44"/>
      <c r="P130" s="44"/>
      <c r="Q130" s="44"/>
      <c r="R130" s="44"/>
      <c r="S130" s="44"/>
      <c r="T130" s="44"/>
      <c r="U130" s="44"/>
      <c r="V130" s="44"/>
      <c r="W130" s="44"/>
      <c r="X130" s="44"/>
      <c r="Y130" s="44"/>
      <c r="Z130" s="44"/>
    </row>
    <row r="131" spans="1:26" ht="15.75" customHeight="1" x14ac:dyDescent="0.25">
      <c r="A131" s="44"/>
      <c r="B131" s="44"/>
      <c r="C131" s="44"/>
      <c r="D131" s="44"/>
      <c r="E131" s="44"/>
      <c r="F131" s="44"/>
      <c r="G131" s="44"/>
      <c r="H131" s="44"/>
      <c r="I131" s="45"/>
      <c r="J131" s="44"/>
      <c r="K131" s="44"/>
      <c r="L131" s="44"/>
      <c r="M131" s="44"/>
      <c r="N131" s="44"/>
      <c r="O131" s="44"/>
      <c r="P131" s="44"/>
      <c r="Q131" s="44"/>
      <c r="R131" s="44"/>
      <c r="S131" s="44"/>
      <c r="T131" s="44"/>
      <c r="U131" s="44"/>
      <c r="V131" s="44"/>
      <c r="W131" s="44"/>
      <c r="X131" s="44"/>
      <c r="Y131" s="44"/>
      <c r="Z131" s="44"/>
    </row>
    <row r="132" spans="1:26" ht="15.75" customHeight="1" x14ac:dyDescent="0.25">
      <c r="A132" s="44"/>
      <c r="B132" s="44"/>
      <c r="C132" s="44"/>
      <c r="D132" s="44"/>
      <c r="E132" s="44"/>
      <c r="F132" s="44"/>
      <c r="G132" s="44"/>
      <c r="H132" s="44"/>
      <c r="I132" s="45"/>
      <c r="J132" s="44"/>
      <c r="K132" s="44"/>
      <c r="L132" s="44"/>
      <c r="M132" s="44"/>
      <c r="N132" s="44"/>
      <c r="O132" s="44"/>
      <c r="P132" s="44"/>
      <c r="Q132" s="44"/>
      <c r="R132" s="44"/>
      <c r="S132" s="44"/>
      <c r="T132" s="44"/>
      <c r="U132" s="44"/>
      <c r="V132" s="44"/>
      <c r="W132" s="44"/>
      <c r="X132" s="44"/>
      <c r="Y132" s="44"/>
      <c r="Z132" s="44"/>
    </row>
    <row r="133" spans="1:26" ht="15.75" customHeight="1" x14ac:dyDescent="0.25">
      <c r="A133" s="44"/>
      <c r="B133" s="44"/>
      <c r="C133" s="44"/>
      <c r="D133" s="44"/>
      <c r="E133" s="44"/>
      <c r="F133" s="44"/>
      <c r="G133" s="44"/>
      <c r="H133" s="44"/>
      <c r="I133" s="45"/>
      <c r="J133" s="44"/>
      <c r="K133" s="44"/>
      <c r="L133" s="44"/>
      <c r="M133" s="44"/>
      <c r="N133" s="44"/>
      <c r="O133" s="44"/>
      <c r="P133" s="44"/>
      <c r="Q133" s="44"/>
      <c r="R133" s="44"/>
      <c r="S133" s="44"/>
      <c r="T133" s="44"/>
      <c r="U133" s="44"/>
      <c r="V133" s="44"/>
      <c r="W133" s="44"/>
      <c r="X133" s="44"/>
      <c r="Y133" s="44"/>
      <c r="Z133" s="44"/>
    </row>
    <row r="134" spans="1:26" ht="15.75" customHeight="1" x14ac:dyDescent="0.25">
      <c r="A134" s="44"/>
      <c r="B134" s="44"/>
      <c r="C134" s="44"/>
      <c r="D134" s="44"/>
      <c r="E134" s="44"/>
      <c r="F134" s="44"/>
      <c r="G134" s="44"/>
      <c r="H134" s="44"/>
      <c r="I134" s="45"/>
      <c r="J134" s="44"/>
      <c r="K134" s="44"/>
      <c r="L134" s="44"/>
      <c r="M134" s="44"/>
      <c r="N134" s="44"/>
      <c r="O134" s="44"/>
      <c r="P134" s="44"/>
      <c r="Q134" s="44"/>
      <c r="R134" s="44"/>
      <c r="S134" s="44"/>
      <c r="T134" s="44"/>
      <c r="U134" s="44"/>
      <c r="V134" s="44"/>
      <c r="W134" s="44"/>
      <c r="X134" s="44"/>
      <c r="Y134" s="44"/>
      <c r="Z134" s="44"/>
    </row>
    <row r="135" spans="1:26" ht="15.75" customHeight="1" x14ac:dyDescent="0.25">
      <c r="A135" s="44"/>
      <c r="B135" s="44"/>
      <c r="C135" s="44"/>
      <c r="D135" s="44"/>
      <c r="E135" s="44"/>
      <c r="F135" s="44"/>
      <c r="G135" s="44"/>
      <c r="H135" s="44"/>
      <c r="I135" s="45"/>
      <c r="J135" s="44"/>
      <c r="K135" s="44"/>
      <c r="L135" s="44"/>
      <c r="M135" s="44"/>
      <c r="N135" s="44"/>
      <c r="O135" s="44"/>
      <c r="P135" s="44"/>
      <c r="Q135" s="44"/>
      <c r="R135" s="44"/>
      <c r="S135" s="44"/>
      <c r="T135" s="44"/>
      <c r="U135" s="44"/>
      <c r="V135" s="44"/>
      <c r="W135" s="44"/>
      <c r="X135" s="44"/>
      <c r="Y135" s="44"/>
      <c r="Z135" s="44"/>
    </row>
    <row r="136" spans="1:26" ht="15.75" customHeight="1" x14ac:dyDescent="0.25">
      <c r="A136" s="44"/>
      <c r="B136" s="44"/>
      <c r="C136" s="44"/>
      <c r="D136" s="44"/>
      <c r="E136" s="44"/>
      <c r="F136" s="44"/>
      <c r="G136" s="44"/>
      <c r="H136" s="44"/>
      <c r="I136" s="45"/>
      <c r="J136" s="44"/>
      <c r="K136" s="44"/>
      <c r="L136" s="44"/>
      <c r="M136" s="44"/>
      <c r="N136" s="44"/>
      <c r="O136" s="44"/>
      <c r="P136" s="44"/>
      <c r="Q136" s="44"/>
      <c r="R136" s="44"/>
      <c r="S136" s="44"/>
      <c r="T136" s="44"/>
      <c r="U136" s="44"/>
      <c r="V136" s="44"/>
      <c r="W136" s="44"/>
      <c r="X136" s="44"/>
      <c r="Y136" s="44"/>
      <c r="Z136" s="44"/>
    </row>
    <row r="137" spans="1:26" ht="15.75" customHeight="1" x14ac:dyDescent="0.25">
      <c r="A137" s="44"/>
      <c r="B137" s="44"/>
      <c r="C137" s="44"/>
      <c r="D137" s="44"/>
      <c r="E137" s="44"/>
      <c r="F137" s="44"/>
      <c r="G137" s="44"/>
      <c r="H137" s="44"/>
      <c r="I137" s="45"/>
      <c r="J137" s="44"/>
      <c r="K137" s="44"/>
      <c r="L137" s="44"/>
      <c r="M137" s="44"/>
      <c r="N137" s="44"/>
      <c r="O137" s="44"/>
      <c r="P137" s="44"/>
      <c r="Q137" s="44"/>
      <c r="R137" s="44"/>
      <c r="S137" s="44"/>
      <c r="T137" s="44"/>
      <c r="U137" s="44"/>
      <c r="V137" s="44"/>
      <c r="W137" s="44"/>
      <c r="X137" s="44"/>
      <c r="Y137" s="44"/>
      <c r="Z137" s="44"/>
    </row>
    <row r="138" spans="1:26" ht="15.75" customHeight="1" x14ac:dyDescent="0.25">
      <c r="A138" s="44"/>
      <c r="B138" s="44"/>
      <c r="C138" s="44"/>
      <c r="D138" s="44"/>
      <c r="E138" s="44"/>
      <c r="F138" s="44"/>
      <c r="G138" s="44"/>
      <c r="H138" s="44"/>
      <c r="I138" s="45"/>
      <c r="J138" s="44"/>
      <c r="K138" s="44"/>
      <c r="L138" s="44"/>
      <c r="M138" s="44"/>
      <c r="N138" s="44"/>
      <c r="O138" s="44"/>
      <c r="P138" s="44"/>
      <c r="Q138" s="44"/>
      <c r="R138" s="44"/>
      <c r="S138" s="44"/>
      <c r="T138" s="44"/>
      <c r="U138" s="44"/>
      <c r="V138" s="44"/>
      <c r="W138" s="44"/>
      <c r="X138" s="44"/>
      <c r="Y138" s="44"/>
      <c r="Z138" s="44"/>
    </row>
    <row r="139" spans="1:26" ht="15.75" customHeight="1" x14ac:dyDescent="0.25">
      <c r="A139" s="44"/>
      <c r="B139" s="44"/>
      <c r="C139" s="44"/>
      <c r="D139" s="44"/>
      <c r="E139" s="44"/>
      <c r="F139" s="44"/>
      <c r="G139" s="44"/>
      <c r="H139" s="44"/>
      <c r="I139" s="45"/>
      <c r="J139" s="44"/>
      <c r="K139" s="44"/>
      <c r="L139" s="44"/>
      <c r="M139" s="44"/>
      <c r="N139" s="44"/>
      <c r="O139" s="44"/>
      <c r="P139" s="44"/>
      <c r="Q139" s="44"/>
      <c r="R139" s="44"/>
      <c r="S139" s="44"/>
      <c r="T139" s="44"/>
      <c r="U139" s="44"/>
      <c r="V139" s="44"/>
      <c r="W139" s="44"/>
      <c r="X139" s="44"/>
      <c r="Y139" s="44"/>
      <c r="Z139" s="44"/>
    </row>
    <row r="140" spans="1:26" ht="15.75" customHeight="1" x14ac:dyDescent="0.25">
      <c r="A140" s="44"/>
      <c r="B140" s="44"/>
      <c r="C140" s="44"/>
      <c r="D140" s="44"/>
      <c r="E140" s="44"/>
      <c r="F140" s="44"/>
      <c r="G140" s="44"/>
      <c r="H140" s="44"/>
      <c r="I140" s="45"/>
      <c r="J140" s="44"/>
      <c r="K140" s="44"/>
      <c r="L140" s="44"/>
      <c r="M140" s="44"/>
      <c r="N140" s="44"/>
      <c r="O140" s="44"/>
      <c r="P140" s="44"/>
      <c r="Q140" s="44"/>
      <c r="R140" s="44"/>
      <c r="S140" s="44"/>
      <c r="T140" s="44"/>
      <c r="U140" s="44"/>
      <c r="V140" s="44"/>
      <c r="W140" s="44"/>
      <c r="X140" s="44"/>
      <c r="Y140" s="44"/>
      <c r="Z140" s="44"/>
    </row>
    <row r="141" spans="1:26" ht="15.75" customHeight="1" x14ac:dyDescent="0.25">
      <c r="A141" s="44"/>
      <c r="B141" s="44"/>
      <c r="C141" s="44"/>
      <c r="D141" s="44"/>
      <c r="E141" s="44"/>
      <c r="F141" s="44"/>
      <c r="G141" s="44"/>
      <c r="H141" s="44"/>
      <c r="I141" s="45"/>
      <c r="J141" s="44"/>
      <c r="K141" s="44"/>
      <c r="L141" s="44"/>
      <c r="M141" s="44"/>
      <c r="N141" s="44"/>
      <c r="O141" s="44"/>
      <c r="P141" s="44"/>
      <c r="Q141" s="44"/>
      <c r="R141" s="44"/>
      <c r="S141" s="44"/>
      <c r="T141" s="44"/>
      <c r="U141" s="44"/>
      <c r="V141" s="44"/>
      <c r="W141" s="44"/>
      <c r="X141" s="44"/>
      <c r="Y141" s="44"/>
      <c r="Z141" s="44"/>
    </row>
    <row r="142" spans="1:26" ht="15.75" customHeight="1" x14ac:dyDescent="0.25">
      <c r="A142" s="44"/>
      <c r="B142" s="44"/>
      <c r="C142" s="44"/>
      <c r="D142" s="44"/>
      <c r="E142" s="44"/>
      <c r="F142" s="44"/>
      <c r="G142" s="44"/>
      <c r="H142" s="44"/>
      <c r="I142" s="45"/>
      <c r="J142" s="44"/>
      <c r="K142" s="44"/>
      <c r="L142" s="44"/>
      <c r="M142" s="44"/>
      <c r="N142" s="44"/>
      <c r="O142" s="44"/>
      <c r="P142" s="44"/>
      <c r="Q142" s="44"/>
      <c r="R142" s="44"/>
      <c r="S142" s="44"/>
      <c r="T142" s="44"/>
      <c r="U142" s="44"/>
      <c r="V142" s="44"/>
      <c r="W142" s="44"/>
      <c r="X142" s="44"/>
      <c r="Y142" s="44"/>
      <c r="Z142" s="44"/>
    </row>
    <row r="143" spans="1:26" ht="15.75" customHeight="1" x14ac:dyDescent="0.25">
      <c r="A143" s="44"/>
      <c r="B143" s="44"/>
      <c r="C143" s="44"/>
      <c r="D143" s="44"/>
      <c r="E143" s="44"/>
      <c r="F143" s="44"/>
      <c r="G143" s="44"/>
      <c r="H143" s="44"/>
      <c r="I143" s="45"/>
      <c r="J143" s="44"/>
      <c r="K143" s="44"/>
      <c r="L143" s="44"/>
      <c r="M143" s="44"/>
      <c r="N143" s="44"/>
      <c r="O143" s="44"/>
      <c r="P143" s="44"/>
      <c r="Q143" s="44"/>
      <c r="R143" s="44"/>
      <c r="S143" s="44"/>
      <c r="T143" s="44"/>
      <c r="U143" s="44"/>
      <c r="V143" s="44"/>
      <c r="W143" s="44"/>
      <c r="X143" s="44"/>
      <c r="Y143" s="44"/>
      <c r="Z143" s="44"/>
    </row>
    <row r="144" spans="1:26" ht="15.75" customHeight="1" x14ac:dyDescent="0.25">
      <c r="A144" s="44"/>
      <c r="B144" s="44"/>
      <c r="C144" s="44"/>
      <c r="D144" s="44"/>
      <c r="E144" s="44"/>
      <c r="F144" s="44"/>
      <c r="G144" s="44"/>
      <c r="H144" s="44"/>
      <c r="I144" s="45"/>
      <c r="J144" s="44"/>
      <c r="K144" s="44"/>
      <c r="L144" s="44"/>
      <c r="M144" s="44"/>
      <c r="N144" s="44"/>
      <c r="O144" s="44"/>
      <c r="P144" s="44"/>
      <c r="Q144" s="44"/>
      <c r="R144" s="44"/>
      <c r="S144" s="44"/>
      <c r="T144" s="44"/>
      <c r="U144" s="44"/>
      <c r="V144" s="44"/>
      <c r="W144" s="44"/>
      <c r="X144" s="44"/>
      <c r="Y144" s="44"/>
      <c r="Z144" s="44"/>
    </row>
    <row r="145" spans="1:26" ht="15.75" customHeight="1" x14ac:dyDescent="0.25">
      <c r="A145" s="44"/>
      <c r="B145" s="44"/>
      <c r="C145" s="44"/>
      <c r="D145" s="44"/>
      <c r="E145" s="44"/>
      <c r="F145" s="44"/>
      <c r="G145" s="44"/>
      <c r="H145" s="44"/>
      <c r="I145" s="45"/>
      <c r="J145" s="44"/>
      <c r="K145" s="44"/>
      <c r="L145" s="44"/>
      <c r="M145" s="44"/>
      <c r="N145" s="44"/>
      <c r="O145" s="44"/>
      <c r="P145" s="44"/>
      <c r="Q145" s="44"/>
      <c r="R145" s="44"/>
      <c r="S145" s="44"/>
      <c r="T145" s="44"/>
      <c r="U145" s="44"/>
      <c r="V145" s="44"/>
      <c r="W145" s="44"/>
      <c r="X145" s="44"/>
      <c r="Y145" s="44"/>
      <c r="Z145" s="44"/>
    </row>
    <row r="146" spans="1:26" ht="15.75" customHeight="1" x14ac:dyDescent="0.25">
      <c r="A146" s="44"/>
      <c r="B146" s="44"/>
      <c r="C146" s="44"/>
      <c r="D146" s="44"/>
      <c r="E146" s="44"/>
      <c r="F146" s="44"/>
      <c r="G146" s="44"/>
      <c r="H146" s="44"/>
      <c r="I146" s="45"/>
      <c r="J146" s="44"/>
      <c r="K146" s="44"/>
      <c r="L146" s="44"/>
      <c r="M146" s="44"/>
      <c r="N146" s="44"/>
      <c r="O146" s="44"/>
      <c r="P146" s="44"/>
      <c r="Q146" s="44"/>
      <c r="R146" s="44"/>
      <c r="S146" s="44"/>
      <c r="T146" s="44"/>
      <c r="U146" s="44"/>
      <c r="V146" s="44"/>
      <c r="W146" s="44"/>
      <c r="X146" s="44"/>
      <c r="Y146" s="44"/>
      <c r="Z146" s="44"/>
    </row>
    <row r="147" spans="1:26" ht="15.75" customHeight="1" x14ac:dyDescent="0.25">
      <c r="A147" s="44"/>
      <c r="B147" s="44"/>
      <c r="C147" s="44"/>
      <c r="D147" s="44"/>
      <c r="E147" s="44"/>
      <c r="F147" s="44"/>
      <c r="G147" s="44"/>
      <c r="H147" s="44"/>
      <c r="I147" s="45"/>
      <c r="J147" s="44"/>
      <c r="K147" s="44"/>
      <c r="L147" s="44"/>
      <c r="M147" s="44"/>
      <c r="N147" s="44"/>
      <c r="O147" s="44"/>
      <c r="P147" s="44"/>
      <c r="Q147" s="44"/>
      <c r="R147" s="44"/>
      <c r="S147" s="44"/>
      <c r="T147" s="44"/>
      <c r="U147" s="44"/>
      <c r="V147" s="44"/>
      <c r="W147" s="44"/>
      <c r="X147" s="44"/>
      <c r="Y147" s="44"/>
      <c r="Z147" s="44"/>
    </row>
    <row r="148" spans="1:26" ht="15.75" customHeight="1" x14ac:dyDescent="0.25">
      <c r="A148" s="44"/>
      <c r="B148" s="44"/>
      <c r="C148" s="44"/>
      <c r="D148" s="44"/>
      <c r="E148" s="44"/>
      <c r="F148" s="44"/>
      <c r="G148" s="44"/>
      <c r="H148" s="44"/>
      <c r="I148" s="45"/>
      <c r="J148" s="44"/>
      <c r="K148" s="44"/>
      <c r="L148" s="44"/>
      <c r="M148" s="44"/>
      <c r="N148" s="44"/>
      <c r="O148" s="44"/>
      <c r="P148" s="44"/>
      <c r="Q148" s="44"/>
      <c r="R148" s="44"/>
      <c r="S148" s="44"/>
      <c r="T148" s="44"/>
      <c r="U148" s="44"/>
      <c r="V148" s="44"/>
      <c r="W148" s="44"/>
      <c r="X148" s="44"/>
      <c r="Y148" s="44"/>
      <c r="Z148" s="44"/>
    </row>
    <row r="149" spans="1:26" ht="15.75" customHeight="1" x14ac:dyDescent="0.25">
      <c r="A149" s="44"/>
      <c r="B149" s="44"/>
      <c r="C149" s="44"/>
      <c r="D149" s="44"/>
      <c r="E149" s="44"/>
      <c r="F149" s="44"/>
      <c r="G149" s="44"/>
      <c r="H149" s="44"/>
      <c r="I149" s="45"/>
      <c r="J149" s="44"/>
      <c r="K149" s="44"/>
      <c r="L149" s="44"/>
      <c r="M149" s="44"/>
      <c r="N149" s="44"/>
      <c r="O149" s="44"/>
      <c r="P149" s="44"/>
      <c r="Q149" s="44"/>
      <c r="R149" s="44"/>
      <c r="S149" s="44"/>
      <c r="T149" s="44"/>
      <c r="U149" s="44"/>
      <c r="V149" s="44"/>
      <c r="W149" s="44"/>
      <c r="X149" s="44"/>
      <c r="Y149" s="44"/>
      <c r="Z149" s="44"/>
    </row>
    <row r="150" spans="1:26" ht="15.75" customHeight="1" x14ac:dyDescent="0.25">
      <c r="A150" s="44"/>
      <c r="B150" s="44"/>
      <c r="C150" s="44"/>
      <c r="D150" s="44"/>
      <c r="E150" s="44"/>
      <c r="F150" s="44"/>
      <c r="G150" s="44"/>
      <c r="H150" s="44"/>
      <c r="I150" s="45"/>
      <c r="J150" s="44"/>
      <c r="K150" s="44"/>
      <c r="L150" s="44"/>
      <c r="M150" s="44"/>
      <c r="N150" s="44"/>
      <c r="O150" s="44"/>
      <c r="P150" s="44"/>
      <c r="Q150" s="44"/>
      <c r="R150" s="44"/>
      <c r="S150" s="44"/>
      <c r="T150" s="44"/>
      <c r="U150" s="44"/>
      <c r="V150" s="44"/>
      <c r="W150" s="44"/>
      <c r="X150" s="44"/>
      <c r="Y150" s="44"/>
      <c r="Z150" s="44"/>
    </row>
    <row r="151" spans="1:26" ht="15.75" customHeight="1" x14ac:dyDescent="0.25">
      <c r="A151" s="44"/>
      <c r="B151" s="44"/>
      <c r="C151" s="44"/>
      <c r="D151" s="44"/>
      <c r="E151" s="44"/>
      <c r="F151" s="44"/>
      <c r="G151" s="44"/>
      <c r="H151" s="44"/>
      <c r="I151" s="45"/>
      <c r="J151" s="44"/>
      <c r="K151" s="44"/>
      <c r="L151" s="44"/>
      <c r="M151" s="44"/>
      <c r="N151" s="44"/>
      <c r="O151" s="44"/>
      <c r="P151" s="44"/>
      <c r="Q151" s="44"/>
      <c r="R151" s="44"/>
      <c r="S151" s="44"/>
      <c r="T151" s="44"/>
      <c r="U151" s="44"/>
      <c r="V151" s="44"/>
      <c r="W151" s="44"/>
      <c r="X151" s="44"/>
      <c r="Y151" s="44"/>
      <c r="Z151" s="44"/>
    </row>
    <row r="152" spans="1:26" ht="15.75" customHeight="1" x14ac:dyDescent="0.25">
      <c r="A152" s="44"/>
      <c r="B152" s="44"/>
      <c r="C152" s="44"/>
      <c r="D152" s="44"/>
      <c r="E152" s="44"/>
      <c r="F152" s="44"/>
      <c r="G152" s="44"/>
      <c r="H152" s="44"/>
      <c r="I152" s="45"/>
      <c r="J152" s="44"/>
      <c r="K152" s="44"/>
      <c r="L152" s="44"/>
      <c r="M152" s="44"/>
      <c r="N152" s="44"/>
      <c r="O152" s="44"/>
      <c r="P152" s="44"/>
      <c r="Q152" s="44"/>
      <c r="R152" s="44"/>
      <c r="S152" s="44"/>
      <c r="T152" s="44"/>
      <c r="U152" s="44"/>
      <c r="V152" s="44"/>
      <c r="W152" s="44"/>
      <c r="X152" s="44"/>
      <c r="Y152" s="44"/>
      <c r="Z152" s="44"/>
    </row>
    <row r="153" spans="1:26" ht="15.75" customHeight="1" x14ac:dyDescent="0.25">
      <c r="A153" s="44"/>
      <c r="B153" s="44"/>
      <c r="C153" s="44"/>
      <c r="D153" s="44"/>
      <c r="E153" s="44"/>
      <c r="F153" s="44"/>
      <c r="G153" s="44"/>
      <c r="H153" s="44"/>
      <c r="I153" s="45"/>
      <c r="J153" s="44"/>
      <c r="K153" s="44"/>
      <c r="L153" s="44"/>
      <c r="M153" s="44"/>
      <c r="N153" s="44"/>
      <c r="O153" s="44"/>
      <c r="P153" s="44"/>
      <c r="Q153" s="44"/>
      <c r="R153" s="44"/>
      <c r="S153" s="44"/>
      <c r="T153" s="44"/>
      <c r="U153" s="44"/>
      <c r="V153" s="44"/>
      <c r="W153" s="44"/>
      <c r="X153" s="44"/>
      <c r="Y153" s="44"/>
      <c r="Z153" s="44"/>
    </row>
    <row r="154" spans="1:26" ht="15.75" customHeight="1" x14ac:dyDescent="0.25">
      <c r="A154" s="44"/>
      <c r="B154" s="44"/>
      <c r="C154" s="44"/>
      <c r="D154" s="44"/>
      <c r="E154" s="44"/>
      <c r="F154" s="44"/>
      <c r="G154" s="44"/>
      <c r="H154" s="44"/>
      <c r="I154" s="45"/>
      <c r="J154" s="44"/>
      <c r="K154" s="44"/>
      <c r="L154" s="44"/>
      <c r="M154" s="44"/>
      <c r="N154" s="44"/>
      <c r="O154" s="44"/>
      <c r="P154" s="44"/>
      <c r="Q154" s="44"/>
      <c r="R154" s="44"/>
      <c r="S154" s="44"/>
      <c r="T154" s="44"/>
      <c r="U154" s="44"/>
      <c r="V154" s="44"/>
      <c r="W154" s="44"/>
      <c r="X154" s="44"/>
      <c r="Y154" s="44"/>
      <c r="Z154" s="44"/>
    </row>
    <row r="155" spans="1:26" ht="15.75" customHeight="1" x14ac:dyDescent="0.25">
      <c r="A155" s="44"/>
      <c r="B155" s="44"/>
      <c r="C155" s="44"/>
      <c r="D155" s="44"/>
      <c r="E155" s="44"/>
      <c r="F155" s="44"/>
      <c r="G155" s="44"/>
      <c r="H155" s="44"/>
      <c r="I155" s="45"/>
      <c r="J155" s="44"/>
      <c r="K155" s="44"/>
      <c r="L155" s="44"/>
      <c r="M155" s="44"/>
      <c r="N155" s="44"/>
      <c r="O155" s="44"/>
      <c r="P155" s="44"/>
      <c r="Q155" s="44"/>
      <c r="R155" s="44"/>
      <c r="S155" s="44"/>
      <c r="T155" s="44"/>
      <c r="U155" s="44"/>
      <c r="V155" s="44"/>
      <c r="W155" s="44"/>
      <c r="X155" s="44"/>
      <c r="Y155" s="44"/>
      <c r="Z155" s="44"/>
    </row>
    <row r="156" spans="1:26" ht="15.75" customHeight="1" x14ac:dyDescent="0.25">
      <c r="A156" s="44"/>
      <c r="B156" s="44"/>
      <c r="C156" s="44"/>
      <c r="D156" s="44"/>
      <c r="E156" s="44"/>
      <c r="F156" s="44"/>
      <c r="G156" s="44"/>
      <c r="H156" s="44"/>
      <c r="I156" s="45"/>
      <c r="J156" s="44"/>
      <c r="K156" s="44"/>
      <c r="L156" s="44"/>
      <c r="M156" s="44"/>
      <c r="N156" s="44"/>
      <c r="O156" s="44"/>
      <c r="P156" s="44"/>
      <c r="Q156" s="44"/>
      <c r="R156" s="44"/>
      <c r="S156" s="44"/>
      <c r="T156" s="44"/>
      <c r="U156" s="44"/>
      <c r="V156" s="44"/>
      <c r="W156" s="44"/>
      <c r="X156" s="44"/>
      <c r="Y156" s="44"/>
      <c r="Z156" s="44"/>
    </row>
    <row r="157" spans="1:26" ht="15.75" customHeight="1" x14ac:dyDescent="0.25">
      <c r="A157" s="44"/>
      <c r="B157" s="44"/>
      <c r="C157" s="44"/>
      <c r="D157" s="44"/>
      <c r="E157" s="44"/>
      <c r="F157" s="44"/>
      <c r="G157" s="44"/>
      <c r="H157" s="44"/>
      <c r="I157" s="45"/>
      <c r="J157" s="44"/>
      <c r="K157" s="44"/>
      <c r="L157" s="44"/>
      <c r="M157" s="44"/>
      <c r="N157" s="44"/>
      <c r="O157" s="44"/>
      <c r="P157" s="44"/>
      <c r="Q157" s="44"/>
      <c r="R157" s="44"/>
      <c r="S157" s="44"/>
      <c r="T157" s="44"/>
      <c r="U157" s="44"/>
      <c r="V157" s="44"/>
      <c r="W157" s="44"/>
      <c r="X157" s="44"/>
      <c r="Y157" s="44"/>
      <c r="Z157" s="44"/>
    </row>
    <row r="158" spans="1:26" ht="15.75" customHeight="1" x14ac:dyDescent="0.25">
      <c r="A158" s="44"/>
      <c r="B158" s="44"/>
      <c r="C158" s="44"/>
      <c r="D158" s="44"/>
      <c r="E158" s="44"/>
      <c r="F158" s="44"/>
      <c r="G158" s="44"/>
      <c r="H158" s="44"/>
      <c r="I158" s="45"/>
      <c r="J158" s="44"/>
      <c r="K158" s="44"/>
      <c r="L158" s="44"/>
      <c r="M158" s="44"/>
      <c r="N158" s="44"/>
      <c r="O158" s="44"/>
      <c r="P158" s="44"/>
      <c r="Q158" s="44"/>
      <c r="R158" s="44"/>
      <c r="S158" s="44"/>
      <c r="T158" s="44"/>
      <c r="U158" s="44"/>
      <c r="V158" s="44"/>
      <c r="W158" s="44"/>
      <c r="X158" s="44"/>
      <c r="Y158" s="44"/>
      <c r="Z158" s="44"/>
    </row>
    <row r="159" spans="1:26" ht="15.75" customHeight="1" x14ac:dyDescent="0.25">
      <c r="A159" s="44"/>
      <c r="B159" s="44"/>
      <c r="C159" s="44"/>
      <c r="D159" s="44"/>
      <c r="E159" s="44"/>
      <c r="F159" s="44"/>
      <c r="G159" s="44"/>
      <c r="H159" s="44"/>
      <c r="I159" s="45"/>
      <c r="J159" s="44"/>
      <c r="K159" s="44"/>
      <c r="L159" s="44"/>
      <c r="M159" s="44"/>
      <c r="N159" s="44"/>
      <c r="O159" s="44"/>
      <c r="P159" s="44"/>
      <c r="Q159" s="44"/>
      <c r="R159" s="44"/>
      <c r="S159" s="44"/>
      <c r="T159" s="44"/>
      <c r="U159" s="44"/>
      <c r="V159" s="44"/>
      <c r="W159" s="44"/>
      <c r="X159" s="44"/>
      <c r="Y159" s="44"/>
      <c r="Z159" s="44"/>
    </row>
    <row r="160" spans="1:26" ht="15.75" customHeight="1" x14ac:dyDescent="0.25">
      <c r="A160" s="44"/>
      <c r="B160" s="44"/>
      <c r="C160" s="44"/>
      <c r="D160" s="44"/>
      <c r="E160" s="44"/>
      <c r="F160" s="44"/>
      <c r="G160" s="44"/>
      <c r="H160" s="44"/>
      <c r="I160" s="45"/>
      <c r="J160" s="44"/>
      <c r="K160" s="44"/>
      <c r="L160" s="44"/>
      <c r="M160" s="44"/>
      <c r="N160" s="44"/>
      <c r="O160" s="44"/>
      <c r="P160" s="44"/>
      <c r="Q160" s="44"/>
      <c r="R160" s="44"/>
      <c r="S160" s="44"/>
      <c r="T160" s="44"/>
      <c r="U160" s="44"/>
      <c r="V160" s="44"/>
      <c r="W160" s="44"/>
      <c r="X160" s="44"/>
      <c r="Y160" s="44"/>
      <c r="Z160" s="44"/>
    </row>
    <row r="161" spans="1:26" ht="15.75" customHeight="1" x14ac:dyDescent="0.25">
      <c r="A161" s="44"/>
      <c r="B161" s="44"/>
      <c r="C161" s="44"/>
      <c r="D161" s="44"/>
      <c r="E161" s="44"/>
      <c r="F161" s="44"/>
      <c r="G161" s="44"/>
      <c r="H161" s="44"/>
      <c r="I161" s="45"/>
      <c r="J161" s="44"/>
      <c r="K161" s="44"/>
      <c r="L161" s="44"/>
      <c r="M161" s="44"/>
      <c r="N161" s="44"/>
      <c r="O161" s="44"/>
      <c r="P161" s="44"/>
      <c r="Q161" s="44"/>
      <c r="R161" s="44"/>
      <c r="S161" s="44"/>
      <c r="T161" s="44"/>
      <c r="U161" s="44"/>
      <c r="V161" s="44"/>
      <c r="W161" s="44"/>
      <c r="X161" s="44"/>
      <c r="Y161" s="44"/>
      <c r="Z161" s="44"/>
    </row>
    <row r="162" spans="1:26" ht="15.75" customHeight="1" x14ac:dyDescent="0.25">
      <c r="A162" s="44"/>
      <c r="B162" s="44"/>
      <c r="C162" s="44"/>
      <c r="D162" s="44"/>
      <c r="E162" s="44"/>
      <c r="F162" s="44"/>
      <c r="G162" s="44"/>
      <c r="H162" s="44"/>
      <c r="I162" s="45"/>
      <c r="J162" s="44"/>
      <c r="K162" s="44"/>
      <c r="L162" s="44"/>
      <c r="M162" s="44"/>
      <c r="N162" s="44"/>
      <c r="O162" s="44"/>
      <c r="P162" s="44"/>
      <c r="Q162" s="44"/>
      <c r="R162" s="44"/>
      <c r="S162" s="44"/>
      <c r="T162" s="44"/>
      <c r="U162" s="44"/>
      <c r="V162" s="44"/>
      <c r="W162" s="44"/>
      <c r="X162" s="44"/>
      <c r="Y162" s="44"/>
      <c r="Z162" s="44"/>
    </row>
    <row r="163" spans="1:26" ht="15.75" customHeight="1" x14ac:dyDescent="0.25">
      <c r="A163" s="44"/>
      <c r="B163" s="44"/>
      <c r="C163" s="44"/>
      <c r="D163" s="44"/>
      <c r="E163" s="44"/>
      <c r="F163" s="44"/>
      <c r="G163" s="44"/>
      <c r="H163" s="44"/>
      <c r="I163" s="45"/>
      <c r="J163" s="44"/>
      <c r="K163" s="44"/>
      <c r="L163" s="44"/>
      <c r="M163" s="44"/>
      <c r="N163" s="44"/>
      <c r="O163" s="44"/>
      <c r="P163" s="44"/>
      <c r="Q163" s="44"/>
      <c r="R163" s="44"/>
      <c r="S163" s="44"/>
      <c r="T163" s="44"/>
      <c r="U163" s="44"/>
      <c r="V163" s="44"/>
      <c r="W163" s="44"/>
      <c r="X163" s="44"/>
      <c r="Y163" s="44"/>
      <c r="Z163" s="44"/>
    </row>
    <row r="164" spans="1:26" ht="15.75" customHeight="1" x14ac:dyDescent="0.25">
      <c r="A164" s="44"/>
      <c r="B164" s="44"/>
      <c r="C164" s="44"/>
      <c r="D164" s="44"/>
      <c r="E164" s="44"/>
      <c r="F164" s="44"/>
      <c r="G164" s="44"/>
      <c r="H164" s="44"/>
      <c r="I164" s="45"/>
      <c r="J164" s="44"/>
      <c r="K164" s="44"/>
      <c r="L164" s="44"/>
      <c r="M164" s="44"/>
      <c r="N164" s="44"/>
      <c r="O164" s="44"/>
      <c r="P164" s="44"/>
      <c r="Q164" s="44"/>
      <c r="R164" s="44"/>
      <c r="S164" s="44"/>
      <c r="T164" s="44"/>
      <c r="U164" s="44"/>
      <c r="V164" s="44"/>
      <c r="W164" s="44"/>
      <c r="X164" s="44"/>
      <c r="Y164" s="44"/>
      <c r="Z164" s="44"/>
    </row>
    <row r="165" spans="1:26" ht="15.75" customHeight="1" x14ac:dyDescent="0.25">
      <c r="A165" s="44"/>
      <c r="B165" s="44"/>
      <c r="C165" s="44"/>
      <c r="D165" s="44"/>
      <c r="E165" s="44"/>
      <c r="F165" s="44"/>
      <c r="G165" s="44"/>
      <c r="H165" s="44"/>
      <c r="I165" s="45"/>
      <c r="J165" s="44"/>
      <c r="K165" s="44"/>
      <c r="L165" s="44"/>
      <c r="M165" s="44"/>
      <c r="N165" s="44"/>
      <c r="O165" s="44"/>
      <c r="P165" s="44"/>
      <c r="Q165" s="44"/>
      <c r="R165" s="44"/>
      <c r="S165" s="44"/>
      <c r="T165" s="44"/>
      <c r="U165" s="44"/>
      <c r="V165" s="44"/>
      <c r="W165" s="44"/>
      <c r="X165" s="44"/>
      <c r="Y165" s="44"/>
      <c r="Z165" s="44"/>
    </row>
    <row r="166" spans="1:26" ht="15.75" customHeight="1" x14ac:dyDescent="0.25">
      <c r="A166" s="44"/>
      <c r="B166" s="44"/>
      <c r="C166" s="44"/>
      <c r="D166" s="44"/>
      <c r="E166" s="44"/>
      <c r="F166" s="44"/>
      <c r="G166" s="44"/>
      <c r="H166" s="44"/>
      <c r="I166" s="45"/>
      <c r="J166" s="44"/>
      <c r="K166" s="44"/>
      <c r="L166" s="44"/>
      <c r="M166" s="44"/>
      <c r="N166" s="44"/>
      <c r="O166" s="44"/>
      <c r="P166" s="44"/>
      <c r="Q166" s="44"/>
      <c r="R166" s="44"/>
      <c r="S166" s="44"/>
      <c r="T166" s="44"/>
      <c r="U166" s="44"/>
      <c r="V166" s="44"/>
      <c r="W166" s="44"/>
      <c r="X166" s="44"/>
      <c r="Y166" s="44"/>
      <c r="Z166" s="44"/>
    </row>
    <row r="167" spans="1:26" ht="15.75" customHeight="1" x14ac:dyDescent="0.25">
      <c r="A167" s="44"/>
      <c r="B167" s="44"/>
      <c r="C167" s="44"/>
      <c r="D167" s="44"/>
      <c r="E167" s="44"/>
      <c r="F167" s="44"/>
      <c r="G167" s="44"/>
      <c r="H167" s="44"/>
      <c r="I167" s="45"/>
      <c r="J167" s="44"/>
      <c r="K167" s="44"/>
      <c r="L167" s="44"/>
      <c r="M167" s="44"/>
      <c r="N167" s="44"/>
      <c r="O167" s="44"/>
      <c r="P167" s="44"/>
      <c r="Q167" s="44"/>
      <c r="R167" s="44"/>
      <c r="S167" s="44"/>
      <c r="T167" s="44"/>
      <c r="U167" s="44"/>
      <c r="V167" s="44"/>
      <c r="W167" s="44"/>
      <c r="X167" s="44"/>
      <c r="Y167" s="44"/>
      <c r="Z167" s="44"/>
    </row>
    <row r="168" spans="1:26" ht="15.75" customHeight="1" x14ac:dyDescent="0.25">
      <c r="A168" s="44"/>
      <c r="B168" s="44"/>
      <c r="C168" s="44"/>
      <c r="D168" s="44"/>
      <c r="E168" s="44"/>
      <c r="F168" s="44"/>
      <c r="G168" s="44"/>
      <c r="H168" s="44"/>
      <c r="I168" s="45"/>
      <c r="J168" s="44"/>
      <c r="K168" s="44"/>
      <c r="L168" s="44"/>
      <c r="M168" s="44"/>
      <c r="N168" s="44"/>
      <c r="O168" s="44"/>
      <c r="P168" s="44"/>
      <c r="Q168" s="44"/>
      <c r="R168" s="44"/>
      <c r="S168" s="44"/>
      <c r="T168" s="44"/>
      <c r="U168" s="44"/>
      <c r="V168" s="44"/>
      <c r="W168" s="44"/>
      <c r="X168" s="44"/>
      <c r="Y168" s="44"/>
      <c r="Z168" s="44"/>
    </row>
    <row r="169" spans="1:26" ht="15.75" customHeight="1" x14ac:dyDescent="0.25">
      <c r="A169" s="44"/>
      <c r="B169" s="44"/>
      <c r="C169" s="44"/>
      <c r="D169" s="44"/>
      <c r="E169" s="44"/>
      <c r="F169" s="44"/>
      <c r="G169" s="44"/>
      <c r="H169" s="44"/>
      <c r="I169" s="45"/>
      <c r="J169" s="44"/>
      <c r="K169" s="44"/>
      <c r="L169" s="44"/>
      <c r="M169" s="44"/>
      <c r="N169" s="44"/>
      <c r="O169" s="44"/>
      <c r="P169" s="44"/>
      <c r="Q169" s="44"/>
      <c r="R169" s="44"/>
      <c r="S169" s="44"/>
      <c r="T169" s="44"/>
      <c r="U169" s="44"/>
      <c r="V169" s="44"/>
      <c r="W169" s="44"/>
      <c r="X169" s="44"/>
      <c r="Y169" s="44"/>
      <c r="Z169" s="44"/>
    </row>
    <row r="170" spans="1:26" ht="15.75" customHeight="1" x14ac:dyDescent="0.25">
      <c r="A170" s="44"/>
      <c r="B170" s="44"/>
      <c r="C170" s="44"/>
      <c r="D170" s="44"/>
      <c r="E170" s="44"/>
      <c r="F170" s="44"/>
      <c r="G170" s="44"/>
      <c r="H170" s="44"/>
      <c r="I170" s="45"/>
      <c r="J170" s="44"/>
      <c r="K170" s="44"/>
      <c r="L170" s="44"/>
      <c r="M170" s="44"/>
      <c r="N170" s="44"/>
      <c r="O170" s="44"/>
      <c r="P170" s="44"/>
      <c r="Q170" s="44"/>
      <c r="R170" s="44"/>
      <c r="S170" s="44"/>
      <c r="T170" s="44"/>
      <c r="U170" s="44"/>
      <c r="V170" s="44"/>
      <c r="W170" s="44"/>
      <c r="X170" s="44"/>
      <c r="Y170" s="44"/>
      <c r="Z170" s="44"/>
    </row>
    <row r="171" spans="1:26" ht="15.75" customHeight="1" x14ac:dyDescent="0.25">
      <c r="A171" s="44"/>
      <c r="B171" s="44"/>
      <c r="C171" s="44"/>
      <c r="D171" s="44"/>
      <c r="E171" s="44"/>
      <c r="F171" s="44"/>
      <c r="G171" s="44"/>
      <c r="H171" s="44"/>
      <c r="I171" s="45"/>
      <c r="J171" s="44"/>
      <c r="K171" s="44"/>
      <c r="L171" s="44"/>
      <c r="M171" s="44"/>
      <c r="N171" s="44"/>
      <c r="O171" s="44"/>
      <c r="P171" s="44"/>
      <c r="Q171" s="44"/>
      <c r="R171" s="44"/>
      <c r="S171" s="44"/>
      <c r="T171" s="44"/>
      <c r="U171" s="44"/>
      <c r="V171" s="44"/>
      <c r="W171" s="44"/>
      <c r="X171" s="44"/>
      <c r="Y171" s="44"/>
      <c r="Z171" s="44"/>
    </row>
    <row r="172" spans="1:26" ht="15.75" customHeight="1" x14ac:dyDescent="0.25">
      <c r="A172" s="44"/>
      <c r="B172" s="44"/>
      <c r="C172" s="44"/>
      <c r="D172" s="44"/>
      <c r="E172" s="44"/>
      <c r="F172" s="44"/>
      <c r="G172" s="44"/>
      <c r="H172" s="44"/>
      <c r="I172" s="45"/>
      <c r="J172" s="44"/>
      <c r="K172" s="44"/>
      <c r="L172" s="44"/>
      <c r="M172" s="44"/>
      <c r="N172" s="44"/>
      <c r="O172" s="44"/>
      <c r="P172" s="44"/>
      <c r="Q172" s="44"/>
      <c r="R172" s="44"/>
      <c r="S172" s="44"/>
      <c r="T172" s="44"/>
      <c r="U172" s="44"/>
      <c r="V172" s="44"/>
      <c r="W172" s="44"/>
      <c r="X172" s="44"/>
      <c r="Y172" s="44"/>
      <c r="Z172" s="44"/>
    </row>
    <row r="173" spans="1:26" ht="15.75" customHeight="1" x14ac:dyDescent="0.25">
      <c r="A173" s="44"/>
      <c r="B173" s="44"/>
      <c r="C173" s="44"/>
      <c r="D173" s="44"/>
      <c r="E173" s="44"/>
      <c r="F173" s="44"/>
      <c r="G173" s="44"/>
      <c r="H173" s="44"/>
      <c r="I173" s="45"/>
      <c r="J173" s="44"/>
      <c r="K173" s="44"/>
      <c r="L173" s="44"/>
      <c r="M173" s="44"/>
      <c r="N173" s="44"/>
      <c r="O173" s="44"/>
      <c r="P173" s="44"/>
      <c r="Q173" s="44"/>
      <c r="R173" s="44"/>
      <c r="S173" s="44"/>
      <c r="T173" s="44"/>
      <c r="U173" s="44"/>
      <c r="V173" s="44"/>
      <c r="W173" s="44"/>
      <c r="X173" s="44"/>
      <c r="Y173" s="44"/>
      <c r="Z173" s="44"/>
    </row>
    <row r="174" spans="1:26" ht="15.75" customHeight="1" x14ac:dyDescent="0.25">
      <c r="A174" s="44"/>
      <c r="B174" s="44"/>
      <c r="C174" s="44"/>
      <c r="D174" s="44"/>
      <c r="E174" s="44"/>
      <c r="F174" s="44"/>
      <c r="G174" s="44"/>
      <c r="H174" s="44"/>
      <c r="I174" s="45"/>
      <c r="J174" s="44"/>
      <c r="K174" s="44"/>
      <c r="L174" s="44"/>
      <c r="M174" s="44"/>
      <c r="N174" s="44"/>
      <c r="O174" s="44"/>
      <c r="P174" s="44"/>
      <c r="Q174" s="44"/>
      <c r="R174" s="44"/>
      <c r="S174" s="44"/>
      <c r="T174" s="44"/>
      <c r="U174" s="44"/>
      <c r="V174" s="44"/>
      <c r="W174" s="44"/>
      <c r="X174" s="44"/>
      <c r="Y174" s="44"/>
      <c r="Z174" s="44"/>
    </row>
    <row r="175" spans="1:26" ht="15.75" customHeight="1" x14ac:dyDescent="0.25">
      <c r="A175" s="44"/>
      <c r="B175" s="44"/>
      <c r="C175" s="44"/>
      <c r="D175" s="44"/>
      <c r="E175" s="44"/>
      <c r="F175" s="44"/>
      <c r="G175" s="44"/>
      <c r="H175" s="44"/>
      <c r="I175" s="45"/>
      <c r="J175" s="44"/>
      <c r="K175" s="44"/>
      <c r="L175" s="44"/>
      <c r="M175" s="44"/>
      <c r="N175" s="44"/>
      <c r="O175" s="44"/>
      <c r="P175" s="44"/>
      <c r="Q175" s="44"/>
      <c r="R175" s="44"/>
      <c r="S175" s="44"/>
      <c r="T175" s="44"/>
      <c r="U175" s="44"/>
      <c r="V175" s="44"/>
      <c r="W175" s="44"/>
      <c r="X175" s="44"/>
      <c r="Y175" s="44"/>
      <c r="Z175" s="44"/>
    </row>
    <row r="176" spans="1:26" ht="15.75" customHeight="1" x14ac:dyDescent="0.25">
      <c r="A176" s="44"/>
      <c r="B176" s="44"/>
      <c r="C176" s="44"/>
      <c r="D176" s="44"/>
      <c r="E176" s="44"/>
      <c r="F176" s="44"/>
      <c r="G176" s="44"/>
      <c r="H176" s="44"/>
      <c r="I176" s="45"/>
      <c r="J176" s="44"/>
      <c r="K176" s="44"/>
      <c r="L176" s="44"/>
      <c r="M176" s="44"/>
      <c r="N176" s="44"/>
      <c r="O176" s="44"/>
      <c r="P176" s="44"/>
      <c r="Q176" s="44"/>
      <c r="R176" s="44"/>
      <c r="S176" s="44"/>
      <c r="T176" s="44"/>
      <c r="U176" s="44"/>
      <c r="V176" s="44"/>
      <c r="W176" s="44"/>
      <c r="X176" s="44"/>
      <c r="Y176" s="44"/>
      <c r="Z176" s="44"/>
    </row>
    <row r="177" spans="1:26" ht="15.75" customHeight="1" x14ac:dyDescent="0.25">
      <c r="A177" s="44"/>
      <c r="B177" s="44"/>
      <c r="C177" s="44"/>
      <c r="D177" s="44"/>
      <c r="E177" s="44"/>
      <c r="F177" s="44"/>
      <c r="G177" s="44"/>
      <c r="H177" s="44"/>
      <c r="I177" s="45"/>
      <c r="J177" s="44"/>
      <c r="K177" s="44"/>
      <c r="L177" s="44"/>
      <c r="M177" s="44"/>
      <c r="N177" s="44"/>
      <c r="O177" s="44"/>
      <c r="P177" s="44"/>
      <c r="Q177" s="44"/>
      <c r="R177" s="44"/>
      <c r="S177" s="44"/>
      <c r="T177" s="44"/>
      <c r="U177" s="44"/>
      <c r="V177" s="44"/>
      <c r="W177" s="44"/>
      <c r="X177" s="44"/>
      <c r="Y177" s="44"/>
      <c r="Z177" s="44"/>
    </row>
    <row r="178" spans="1:26" ht="15.75" customHeight="1" x14ac:dyDescent="0.25">
      <c r="A178" s="44"/>
      <c r="B178" s="44"/>
      <c r="C178" s="44"/>
      <c r="D178" s="44"/>
      <c r="E178" s="44"/>
      <c r="F178" s="44"/>
      <c r="G178" s="44"/>
      <c r="H178" s="44"/>
      <c r="I178" s="45"/>
      <c r="J178" s="44"/>
      <c r="K178" s="44"/>
      <c r="L178" s="44"/>
      <c r="M178" s="44"/>
      <c r="N178" s="44"/>
      <c r="O178" s="44"/>
      <c r="P178" s="44"/>
      <c r="Q178" s="44"/>
      <c r="R178" s="44"/>
      <c r="S178" s="44"/>
      <c r="T178" s="44"/>
      <c r="U178" s="44"/>
      <c r="V178" s="44"/>
      <c r="W178" s="44"/>
      <c r="X178" s="44"/>
      <c r="Y178" s="44"/>
      <c r="Z178" s="44"/>
    </row>
    <row r="179" spans="1:26" ht="15.75" customHeight="1" x14ac:dyDescent="0.25">
      <c r="A179" s="44"/>
      <c r="B179" s="44"/>
      <c r="C179" s="44"/>
      <c r="D179" s="44"/>
      <c r="E179" s="44"/>
      <c r="F179" s="44"/>
      <c r="G179" s="44"/>
      <c r="H179" s="44"/>
      <c r="I179" s="45"/>
      <c r="J179" s="44"/>
      <c r="K179" s="44"/>
      <c r="L179" s="44"/>
      <c r="M179" s="44"/>
      <c r="N179" s="44"/>
      <c r="O179" s="44"/>
      <c r="P179" s="44"/>
      <c r="Q179" s="44"/>
      <c r="R179" s="44"/>
      <c r="S179" s="44"/>
      <c r="T179" s="44"/>
      <c r="U179" s="44"/>
      <c r="V179" s="44"/>
      <c r="W179" s="44"/>
      <c r="X179" s="44"/>
      <c r="Y179" s="44"/>
      <c r="Z179" s="44"/>
    </row>
    <row r="180" spans="1:26" ht="15.75" customHeight="1" x14ac:dyDescent="0.25">
      <c r="A180" s="44"/>
      <c r="B180" s="44"/>
      <c r="C180" s="44"/>
      <c r="D180" s="44"/>
      <c r="E180" s="44"/>
      <c r="F180" s="44"/>
      <c r="G180" s="44"/>
      <c r="H180" s="44"/>
      <c r="I180" s="45"/>
      <c r="J180" s="44"/>
      <c r="K180" s="44"/>
      <c r="L180" s="44"/>
      <c r="M180" s="44"/>
      <c r="N180" s="44"/>
      <c r="O180" s="44"/>
      <c r="P180" s="44"/>
      <c r="Q180" s="44"/>
      <c r="R180" s="44"/>
      <c r="S180" s="44"/>
      <c r="T180" s="44"/>
      <c r="U180" s="44"/>
      <c r="V180" s="44"/>
      <c r="W180" s="44"/>
      <c r="X180" s="44"/>
      <c r="Y180" s="44"/>
      <c r="Z180" s="44"/>
    </row>
    <row r="181" spans="1:26" ht="15.75" customHeight="1" x14ac:dyDescent="0.25">
      <c r="A181" s="44"/>
      <c r="B181" s="44"/>
      <c r="C181" s="44"/>
      <c r="D181" s="44"/>
      <c r="E181" s="44"/>
      <c r="F181" s="44"/>
      <c r="G181" s="44"/>
      <c r="H181" s="44"/>
      <c r="I181" s="45"/>
      <c r="J181" s="44"/>
      <c r="K181" s="44"/>
      <c r="L181" s="44"/>
      <c r="M181" s="44"/>
      <c r="N181" s="44"/>
      <c r="O181" s="44"/>
      <c r="P181" s="44"/>
      <c r="Q181" s="44"/>
      <c r="R181" s="44"/>
      <c r="S181" s="44"/>
      <c r="T181" s="44"/>
      <c r="U181" s="44"/>
      <c r="V181" s="44"/>
      <c r="W181" s="44"/>
      <c r="X181" s="44"/>
      <c r="Y181" s="44"/>
      <c r="Z181" s="44"/>
    </row>
    <row r="182" spans="1:26" ht="15.75" customHeight="1" x14ac:dyDescent="0.25">
      <c r="A182" s="44"/>
      <c r="B182" s="44"/>
      <c r="C182" s="44"/>
      <c r="D182" s="44"/>
      <c r="E182" s="44"/>
      <c r="F182" s="44"/>
      <c r="G182" s="44"/>
      <c r="H182" s="44"/>
      <c r="I182" s="45"/>
      <c r="J182" s="44"/>
      <c r="K182" s="44"/>
      <c r="L182" s="44"/>
      <c r="M182" s="44"/>
      <c r="N182" s="44"/>
      <c r="O182" s="44"/>
      <c r="P182" s="44"/>
      <c r="Q182" s="44"/>
      <c r="R182" s="44"/>
      <c r="S182" s="44"/>
      <c r="T182" s="44"/>
      <c r="U182" s="44"/>
      <c r="V182" s="44"/>
      <c r="W182" s="44"/>
      <c r="X182" s="44"/>
      <c r="Y182" s="44"/>
      <c r="Z182" s="44"/>
    </row>
    <row r="183" spans="1:26" ht="15.75" customHeight="1" x14ac:dyDescent="0.25">
      <c r="A183" s="44"/>
      <c r="B183" s="44"/>
      <c r="C183" s="44"/>
      <c r="D183" s="44"/>
      <c r="E183" s="44"/>
      <c r="F183" s="44"/>
      <c r="G183" s="44"/>
      <c r="H183" s="44"/>
      <c r="I183" s="45"/>
      <c r="J183" s="44"/>
      <c r="K183" s="44"/>
      <c r="L183" s="44"/>
      <c r="M183" s="44"/>
      <c r="N183" s="44"/>
      <c r="O183" s="44"/>
      <c r="P183" s="44"/>
      <c r="Q183" s="44"/>
      <c r="R183" s="44"/>
      <c r="S183" s="44"/>
      <c r="T183" s="44"/>
      <c r="U183" s="44"/>
      <c r="V183" s="44"/>
      <c r="W183" s="44"/>
      <c r="X183" s="44"/>
      <c r="Y183" s="44"/>
      <c r="Z183" s="44"/>
    </row>
    <row r="184" spans="1:26" ht="15.75" customHeight="1" x14ac:dyDescent="0.25">
      <c r="A184" s="44"/>
      <c r="B184" s="44"/>
      <c r="C184" s="44"/>
      <c r="D184" s="44"/>
      <c r="E184" s="44"/>
      <c r="F184" s="44"/>
      <c r="G184" s="44"/>
      <c r="H184" s="44"/>
      <c r="I184" s="45"/>
      <c r="J184" s="44"/>
      <c r="K184" s="44"/>
      <c r="L184" s="44"/>
      <c r="M184" s="44"/>
      <c r="N184" s="44"/>
      <c r="O184" s="44"/>
      <c r="P184" s="44"/>
      <c r="Q184" s="44"/>
      <c r="R184" s="44"/>
      <c r="S184" s="44"/>
      <c r="T184" s="44"/>
      <c r="U184" s="44"/>
      <c r="V184" s="44"/>
      <c r="W184" s="44"/>
      <c r="X184" s="44"/>
      <c r="Y184" s="44"/>
      <c r="Z184" s="44"/>
    </row>
    <row r="185" spans="1:26" ht="15.75" customHeight="1" x14ac:dyDescent="0.25">
      <c r="A185" s="44"/>
      <c r="B185" s="44"/>
      <c r="C185" s="44"/>
      <c r="D185" s="44"/>
      <c r="E185" s="44"/>
      <c r="F185" s="44"/>
      <c r="G185" s="44"/>
      <c r="H185" s="44"/>
      <c r="I185" s="45"/>
      <c r="J185" s="44"/>
      <c r="K185" s="44"/>
      <c r="L185" s="44"/>
      <c r="M185" s="44"/>
      <c r="N185" s="44"/>
      <c r="O185" s="44"/>
      <c r="P185" s="44"/>
      <c r="Q185" s="44"/>
      <c r="R185" s="44"/>
      <c r="S185" s="44"/>
      <c r="T185" s="44"/>
      <c r="U185" s="44"/>
      <c r="V185" s="44"/>
      <c r="W185" s="44"/>
      <c r="X185" s="44"/>
      <c r="Y185" s="44"/>
      <c r="Z185" s="44"/>
    </row>
    <row r="186" spans="1:26" ht="15.75" customHeight="1" x14ac:dyDescent="0.25">
      <c r="A186" s="44"/>
      <c r="B186" s="44"/>
      <c r="C186" s="44"/>
      <c r="D186" s="44"/>
      <c r="E186" s="44"/>
      <c r="F186" s="44"/>
      <c r="G186" s="44"/>
      <c r="H186" s="44"/>
      <c r="I186" s="45"/>
      <c r="J186" s="44"/>
      <c r="K186" s="44"/>
      <c r="L186" s="44"/>
      <c r="M186" s="44"/>
      <c r="N186" s="44"/>
      <c r="O186" s="44"/>
      <c r="P186" s="44"/>
      <c r="Q186" s="44"/>
      <c r="R186" s="44"/>
      <c r="S186" s="44"/>
      <c r="T186" s="44"/>
      <c r="U186" s="44"/>
      <c r="V186" s="44"/>
      <c r="W186" s="44"/>
      <c r="X186" s="44"/>
      <c r="Y186" s="44"/>
      <c r="Z186" s="44"/>
    </row>
    <row r="187" spans="1:26" ht="15.75" customHeight="1" x14ac:dyDescent="0.25">
      <c r="A187" s="44"/>
      <c r="B187" s="44"/>
      <c r="C187" s="44"/>
      <c r="D187" s="44"/>
      <c r="E187" s="44"/>
      <c r="F187" s="44"/>
      <c r="G187" s="44"/>
      <c r="H187" s="44"/>
      <c r="I187" s="45"/>
      <c r="J187" s="44"/>
      <c r="K187" s="44"/>
      <c r="L187" s="44"/>
      <c r="M187" s="44"/>
      <c r="N187" s="44"/>
      <c r="O187" s="44"/>
      <c r="P187" s="44"/>
      <c r="Q187" s="44"/>
      <c r="R187" s="44"/>
      <c r="S187" s="44"/>
      <c r="T187" s="44"/>
      <c r="U187" s="44"/>
      <c r="V187" s="44"/>
      <c r="W187" s="44"/>
      <c r="X187" s="44"/>
      <c r="Y187" s="44"/>
      <c r="Z187" s="44"/>
    </row>
    <row r="188" spans="1:26" ht="15.75" customHeight="1" x14ac:dyDescent="0.25">
      <c r="A188" s="44"/>
      <c r="B188" s="44"/>
      <c r="C188" s="44"/>
      <c r="D188" s="44"/>
      <c r="E188" s="44"/>
      <c r="F188" s="44"/>
      <c r="G188" s="44"/>
      <c r="H188" s="44"/>
      <c r="I188" s="45"/>
      <c r="J188" s="44"/>
      <c r="K188" s="44"/>
      <c r="L188" s="44"/>
      <c r="M188" s="44"/>
      <c r="N188" s="44"/>
      <c r="O188" s="44"/>
      <c r="P188" s="44"/>
      <c r="Q188" s="44"/>
      <c r="R188" s="44"/>
      <c r="S188" s="44"/>
      <c r="T188" s="44"/>
      <c r="U188" s="44"/>
      <c r="V188" s="44"/>
      <c r="W188" s="44"/>
      <c r="X188" s="44"/>
      <c r="Y188" s="44"/>
      <c r="Z188" s="44"/>
    </row>
    <row r="189" spans="1:26" ht="15.75" customHeight="1" x14ac:dyDescent="0.25">
      <c r="A189" s="44"/>
      <c r="B189" s="44"/>
      <c r="C189" s="44"/>
      <c r="D189" s="44"/>
      <c r="E189" s="44"/>
      <c r="F189" s="44"/>
      <c r="G189" s="44"/>
      <c r="H189" s="44"/>
      <c r="I189" s="45"/>
      <c r="J189" s="44"/>
      <c r="K189" s="44"/>
      <c r="L189" s="44"/>
      <c r="M189" s="44"/>
      <c r="N189" s="44"/>
      <c r="O189" s="44"/>
      <c r="P189" s="44"/>
      <c r="Q189" s="44"/>
      <c r="R189" s="44"/>
      <c r="S189" s="44"/>
      <c r="T189" s="44"/>
      <c r="U189" s="44"/>
      <c r="V189" s="44"/>
      <c r="W189" s="44"/>
      <c r="X189" s="44"/>
      <c r="Y189" s="44"/>
      <c r="Z189" s="44"/>
    </row>
    <row r="190" spans="1:26" ht="15.75" customHeight="1" x14ac:dyDescent="0.25">
      <c r="A190" s="44"/>
      <c r="B190" s="44"/>
      <c r="C190" s="44"/>
      <c r="D190" s="44"/>
      <c r="E190" s="44"/>
      <c r="F190" s="44"/>
      <c r="G190" s="44"/>
      <c r="H190" s="44"/>
      <c r="I190" s="45"/>
      <c r="J190" s="44"/>
      <c r="K190" s="44"/>
      <c r="L190" s="44"/>
      <c r="M190" s="44"/>
      <c r="N190" s="44"/>
      <c r="O190" s="44"/>
      <c r="P190" s="44"/>
      <c r="Q190" s="44"/>
      <c r="R190" s="44"/>
      <c r="S190" s="44"/>
      <c r="T190" s="44"/>
      <c r="U190" s="44"/>
      <c r="V190" s="44"/>
      <c r="W190" s="44"/>
      <c r="X190" s="44"/>
      <c r="Y190" s="44"/>
      <c r="Z190" s="44"/>
    </row>
    <row r="191" spans="1:26" ht="15.75" customHeight="1" x14ac:dyDescent="0.25">
      <c r="A191" s="44"/>
      <c r="B191" s="44"/>
      <c r="C191" s="44"/>
      <c r="D191" s="44"/>
      <c r="E191" s="44"/>
      <c r="F191" s="44"/>
      <c r="G191" s="44"/>
      <c r="H191" s="44"/>
      <c r="I191" s="45"/>
      <c r="J191" s="44"/>
      <c r="K191" s="44"/>
      <c r="L191" s="44"/>
      <c r="M191" s="44"/>
      <c r="N191" s="44"/>
      <c r="O191" s="44"/>
      <c r="P191" s="44"/>
      <c r="Q191" s="44"/>
      <c r="R191" s="44"/>
      <c r="S191" s="44"/>
      <c r="T191" s="44"/>
      <c r="U191" s="44"/>
      <c r="V191" s="44"/>
      <c r="W191" s="44"/>
      <c r="X191" s="44"/>
      <c r="Y191" s="44"/>
      <c r="Z191" s="44"/>
    </row>
    <row r="192" spans="1:26" ht="15.75" customHeight="1" x14ac:dyDescent="0.25">
      <c r="A192" s="44"/>
      <c r="B192" s="44"/>
      <c r="C192" s="44"/>
      <c r="D192" s="44"/>
      <c r="E192" s="44"/>
      <c r="F192" s="44"/>
      <c r="G192" s="44"/>
      <c r="H192" s="44"/>
      <c r="I192" s="45"/>
      <c r="J192" s="44"/>
      <c r="K192" s="44"/>
      <c r="L192" s="44"/>
      <c r="M192" s="44"/>
      <c r="N192" s="44"/>
      <c r="O192" s="44"/>
      <c r="P192" s="44"/>
      <c r="Q192" s="44"/>
      <c r="R192" s="44"/>
      <c r="S192" s="44"/>
      <c r="T192" s="44"/>
      <c r="U192" s="44"/>
      <c r="V192" s="44"/>
      <c r="W192" s="44"/>
      <c r="X192" s="44"/>
      <c r="Y192" s="44"/>
      <c r="Z192" s="44"/>
    </row>
    <row r="193" spans="1:26" ht="15.75" customHeight="1" x14ac:dyDescent="0.25">
      <c r="A193" s="44"/>
      <c r="B193" s="44"/>
      <c r="C193" s="44"/>
      <c r="D193" s="44"/>
      <c r="E193" s="44"/>
      <c r="F193" s="44"/>
      <c r="G193" s="44"/>
      <c r="H193" s="44"/>
      <c r="I193" s="45"/>
      <c r="J193" s="44"/>
      <c r="K193" s="44"/>
      <c r="L193" s="44"/>
      <c r="M193" s="44"/>
      <c r="N193" s="44"/>
      <c r="O193" s="44"/>
      <c r="P193" s="44"/>
      <c r="Q193" s="44"/>
      <c r="R193" s="44"/>
      <c r="S193" s="44"/>
      <c r="T193" s="44"/>
      <c r="U193" s="44"/>
      <c r="V193" s="44"/>
      <c r="W193" s="44"/>
      <c r="X193" s="44"/>
      <c r="Y193" s="44"/>
      <c r="Z193" s="44"/>
    </row>
    <row r="194" spans="1:26" ht="15.75" customHeight="1" x14ac:dyDescent="0.25">
      <c r="A194" s="44"/>
      <c r="B194" s="44"/>
      <c r="C194" s="44"/>
      <c r="D194" s="44"/>
      <c r="E194" s="44"/>
      <c r="F194" s="44"/>
      <c r="G194" s="44"/>
      <c r="H194" s="44"/>
      <c r="I194" s="45"/>
      <c r="J194" s="44"/>
      <c r="K194" s="44"/>
      <c r="L194" s="44"/>
      <c r="M194" s="44"/>
      <c r="N194" s="44"/>
      <c r="O194" s="44"/>
      <c r="P194" s="44"/>
      <c r="Q194" s="44"/>
      <c r="R194" s="44"/>
      <c r="S194" s="44"/>
      <c r="T194" s="44"/>
      <c r="U194" s="44"/>
      <c r="V194" s="44"/>
      <c r="W194" s="44"/>
      <c r="X194" s="44"/>
      <c r="Y194" s="44"/>
      <c r="Z194" s="44"/>
    </row>
    <row r="195" spans="1:26" ht="15.75" customHeight="1" x14ac:dyDescent="0.25">
      <c r="A195" s="44"/>
      <c r="B195" s="44"/>
      <c r="C195" s="44"/>
      <c r="D195" s="44"/>
      <c r="E195" s="44"/>
      <c r="F195" s="44"/>
      <c r="G195" s="44"/>
      <c r="H195" s="44"/>
      <c r="I195" s="45"/>
      <c r="J195" s="44"/>
      <c r="K195" s="44"/>
      <c r="L195" s="44"/>
      <c r="M195" s="44"/>
      <c r="N195" s="44"/>
      <c r="O195" s="44"/>
      <c r="P195" s="44"/>
      <c r="Q195" s="44"/>
      <c r="R195" s="44"/>
      <c r="S195" s="44"/>
      <c r="T195" s="44"/>
      <c r="U195" s="44"/>
      <c r="V195" s="44"/>
      <c r="W195" s="44"/>
      <c r="X195" s="44"/>
      <c r="Y195" s="44"/>
      <c r="Z195" s="44"/>
    </row>
    <row r="196" spans="1:26" ht="15.75" customHeight="1" x14ac:dyDescent="0.25">
      <c r="A196" s="44"/>
      <c r="B196" s="44"/>
      <c r="C196" s="44"/>
      <c r="D196" s="44"/>
      <c r="E196" s="44"/>
      <c r="F196" s="44"/>
      <c r="G196" s="44"/>
      <c r="H196" s="44"/>
      <c r="I196" s="45"/>
      <c r="J196" s="44"/>
      <c r="K196" s="44"/>
      <c r="L196" s="44"/>
      <c r="M196" s="44"/>
      <c r="N196" s="44"/>
      <c r="O196" s="44"/>
      <c r="P196" s="44"/>
      <c r="Q196" s="44"/>
      <c r="R196" s="44"/>
      <c r="S196" s="44"/>
      <c r="T196" s="44"/>
      <c r="U196" s="44"/>
      <c r="V196" s="44"/>
      <c r="W196" s="44"/>
      <c r="X196" s="44"/>
      <c r="Y196" s="44"/>
      <c r="Z196" s="44"/>
    </row>
    <row r="197" spans="1:26" ht="15.75" customHeight="1" x14ac:dyDescent="0.25">
      <c r="A197" s="44"/>
      <c r="B197" s="44"/>
      <c r="C197" s="44"/>
      <c r="D197" s="44"/>
      <c r="E197" s="44"/>
      <c r="F197" s="44"/>
      <c r="G197" s="44"/>
      <c r="H197" s="44"/>
      <c r="I197" s="45"/>
      <c r="J197" s="44"/>
      <c r="K197" s="44"/>
      <c r="L197" s="44"/>
      <c r="M197" s="44"/>
      <c r="N197" s="44"/>
      <c r="O197" s="44"/>
      <c r="P197" s="44"/>
      <c r="Q197" s="44"/>
      <c r="R197" s="44"/>
      <c r="S197" s="44"/>
      <c r="T197" s="44"/>
      <c r="U197" s="44"/>
      <c r="V197" s="44"/>
      <c r="W197" s="44"/>
      <c r="X197" s="44"/>
      <c r="Y197" s="44"/>
      <c r="Z197" s="44"/>
    </row>
    <row r="198" spans="1:26" ht="15.75" customHeight="1" x14ac:dyDescent="0.25">
      <c r="A198" s="44"/>
      <c r="B198" s="44"/>
      <c r="C198" s="44"/>
      <c r="D198" s="44"/>
      <c r="E198" s="44"/>
      <c r="F198" s="44"/>
      <c r="G198" s="44"/>
      <c r="H198" s="44"/>
      <c r="I198" s="45"/>
      <c r="J198" s="44"/>
      <c r="K198" s="44"/>
      <c r="L198" s="44"/>
      <c r="M198" s="44"/>
      <c r="N198" s="44"/>
      <c r="O198" s="44"/>
      <c r="P198" s="44"/>
      <c r="Q198" s="44"/>
      <c r="R198" s="44"/>
      <c r="S198" s="44"/>
      <c r="T198" s="44"/>
      <c r="U198" s="44"/>
      <c r="V198" s="44"/>
      <c r="W198" s="44"/>
      <c r="X198" s="44"/>
      <c r="Y198" s="44"/>
      <c r="Z198" s="44"/>
    </row>
    <row r="199" spans="1:26" ht="15.75" customHeight="1" x14ac:dyDescent="0.25">
      <c r="A199" s="44"/>
      <c r="B199" s="44"/>
      <c r="C199" s="44"/>
      <c r="D199" s="44"/>
      <c r="E199" s="44"/>
      <c r="F199" s="44"/>
      <c r="G199" s="44"/>
      <c r="H199" s="44"/>
      <c r="I199" s="45"/>
      <c r="J199" s="44"/>
      <c r="K199" s="44"/>
      <c r="L199" s="44"/>
      <c r="M199" s="44"/>
      <c r="N199" s="44"/>
      <c r="O199" s="44"/>
      <c r="P199" s="44"/>
      <c r="Q199" s="44"/>
      <c r="R199" s="44"/>
      <c r="S199" s="44"/>
      <c r="T199" s="44"/>
      <c r="U199" s="44"/>
      <c r="V199" s="44"/>
      <c r="W199" s="44"/>
      <c r="X199" s="44"/>
      <c r="Y199" s="44"/>
      <c r="Z199" s="44"/>
    </row>
    <row r="200" spans="1:26" ht="15.75" customHeight="1" x14ac:dyDescent="0.25">
      <c r="A200" s="44"/>
      <c r="B200" s="44"/>
      <c r="C200" s="44"/>
      <c r="D200" s="44"/>
      <c r="E200" s="44"/>
      <c r="F200" s="44"/>
      <c r="G200" s="44"/>
      <c r="H200" s="44"/>
      <c r="I200" s="45"/>
      <c r="J200" s="44"/>
      <c r="K200" s="44"/>
      <c r="L200" s="44"/>
      <c r="M200" s="44"/>
      <c r="N200" s="44"/>
      <c r="O200" s="44"/>
      <c r="P200" s="44"/>
      <c r="Q200" s="44"/>
      <c r="R200" s="44"/>
      <c r="S200" s="44"/>
      <c r="T200" s="44"/>
      <c r="U200" s="44"/>
      <c r="V200" s="44"/>
      <c r="W200" s="44"/>
      <c r="X200" s="44"/>
      <c r="Y200" s="44"/>
      <c r="Z200" s="44"/>
    </row>
    <row r="201" spans="1:26" ht="15.75" customHeight="1" x14ac:dyDescent="0.25">
      <c r="A201" s="44"/>
      <c r="B201" s="44"/>
      <c r="C201" s="44"/>
      <c r="D201" s="44"/>
      <c r="E201" s="44"/>
      <c r="F201" s="44"/>
      <c r="G201" s="44"/>
      <c r="H201" s="44"/>
      <c r="I201" s="45"/>
      <c r="J201" s="44"/>
      <c r="K201" s="44"/>
      <c r="L201" s="44"/>
      <c r="M201" s="44"/>
      <c r="N201" s="44"/>
      <c r="O201" s="44"/>
      <c r="P201" s="44"/>
      <c r="Q201" s="44"/>
      <c r="R201" s="44"/>
      <c r="S201" s="44"/>
      <c r="T201" s="44"/>
      <c r="U201" s="44"/>
      <c r="V201" s="44"/>
      <c r="W201" s="44"/>
      <c r="X201" s="44"/>
      <c r="Y201" s="44"/>
      <c r="Z201" s="44"/>
    </row>
    <row r="202" spans="1:26" ht="15.75" customHeight="1" x14ac:dyDescent="0.25">
      <c r="A202" s="44"/>
      <c r="B202" s="44"/>
      <c r="C202" s="44"/>
      <c r="D202" s="44"/>
      <c r="E202" s="44"/>
      <c r="F202" s="44"/>
      <c r="G202" s="44"/>
      <c r="H202" s="44"/>
      <c r="I202" s="45"/>
      <c r="J202" s="44"/>
      <c r="K202" s="44"/>
      <c r="L202" s="44"/>
      <c r="M202" s="44"/>
      <c r="N202" s="44"/>
      <c r="O202" s="44"/>
      <c r="P202" s="44"/>
      <c r="Q202" s="44"/>
      <c r="R202" s="44"/>
      <c r="S202" s="44"/>
      <c r="T202" s="44"/>
      <c r="U202" s="44"/>
      <c r="V202" s="44"/>
      <c r="W202" s="44"/>
      <c r="X202" s="44"/>
      <c r="Y202" s="44"/>
      <c r="Z202" s="44"/>
    </row>
    <row r="203" spans="1:26" ht="15.75" customHeight="1" x14ac:dyDescent="0.25">
      <c r="A203" s="44"/>
      <c r="B203" s="44"/>
      <c r="C203" s="44"/>
      <c r="D203" s="44"/>
      <c r="E203" s="44"/>
      <c r="F203" s="44"/>
      <c r="G203" s="44"/>
      <c r="H203" s="44"/>
      <c r="I203" s="45"/>
      <c r="J203" s="44"/>
      <c r="K203" s="44"/>
      <c r="L203" s="44"/>
      <c r="M203" s="44"/>
      <c r="N203" s="44"/>
      <c r="O203" s="44"/>
      <c r="P203" s="44"/>
      <c r="Q203" s="44"/>
      <c r="R203" s="44"/>
      <c r="S203" s="44"/>
      <c r="T203" s="44"/>
      <c r="U203" s="44"/>
      <c r="V203" s="44"/>
      <c r="W203" s="44"/>
      <c r="X203" s="44"/>
      <c r="Y203" s="44"/>
      <c r="Z203" s="44"/>
    </row>
    <row r="204" spans="1:26" ht="15.75" customHeight="1" x14ac:dyDescent="0.25">
      <c r="A204" s="44"/>
      <c r="B204" s="44"/>
      <c r="C204" s="44"/>
      <c r="D204" s="44"/>
      <c r="E204" s="44"/>
      <c r="F204" s="44"/>
      <c r="G204" s="44"/>
      <c r="H204" s="44"/>
      <c r="I204" s="45"/>
      <c r="J204" s="44"/>
      <c r="K204" s="44"/>
      <c r="L204" s="44"/>
      <c r="M204" s="44"/>
      <c r="N204" s="44"/>
      <c r="O204" s="44"/>
      <c r="P204" s="44"/>
      <c r="Q204" s="44"/>
      <c r="R204" s="44"/>
      <c r="S204" s="44"/>
      <c r="T204" s="44"/>
      <c r="U204" s="44"/>
      <c r="V204" s="44"/>
      <c r="W204" s="44"/>
      <c r="X204" s="44"/>
      <c r="Y204" s="44"/>
      <c r="Z204" s="44"/>
    </row>
    <row r="205" spans="1:26" ht="15.75" customHeight="1" x14ac:dyDescent="0.25">
      <c r="A205" s="44"/>
      <c r="B205" s="44"/>
      <c r="C205" s="44"/>
      <c r="D205" s="44"/>
      <c r="E205" s="44"/>
      <c r="F205" s="44"/>
      <c r="G205" s="44"/>
      <c r="H205" s="44"/>
      <c r="I205" s="45"/>
      <c r="J205" s="44"/>
      <c r="K205" s="44"/>
      <c r="L205" s="44"/>
      <c r="M205" s="44"/>
      <c r="N205" s="44"/>
      <c r="O205" s="44"/>
      <c r="P205" s="44"/>
      <c r="Q205" s="44"/>
      <c r="R205" s="44"/>
      <c r="S205" s="44"/>
      <c r="T205" s="44"/>
      <c r="U205" s="44"/>
      <c r="V205" s="44"/>
      <c r="W205" s="44"/>
      <c r="X205" s="44"/>
      <c r="Y205" s="44"/>
      <c r="Z205" s="44"/>
    </row>
    <row r="206" spans="1:26" ht="15.75" customHeight="1" x14ac:dyDescent="0.25">
      <c r="A206" s="44"/>
      <c r="B206" s="44"/>
      <c r="C206" s="44"/>
      <c r="D206" s="44"/>
      <c r="E206" s="44"/>
      <c r="F206" s="44"/>
      <c r="G206" s="44"/>
      <c r="H206" s="44"/>
      <c r="I206" s="45"/>
      <c r="J206" s="44"/>
      <c r="K206" s="44"/>
      <c r="L206" s="44"/>
      <c r="M206" s="44"/>
      <c r="N206" s="44"/>
      <c r="O206" s="44"/>
      <c r="P206" s="44"/>
      <c r="Q206" s="44"/>
      <c r="R206" s="44"/>
      <c r="S206" s="44"/>
      <c r="T206" s="44"/>
      <c r="U206" s="44"/>
      <c r="V206" s="44"/>
      <c r="W206" s="44"/>
      <c r="X206" s="44"/>
      <c r="Y206" s="44"/>
      <c r="Z206" s="44"/>
    </row>
    <row r="207" spans="1:26" ht="15.75" customHeight="1" x14ac:dyDescent="0.25">
      <c r="A207" s="44"/>
      <c r="B207" s="44"/>
      <c r="C207" s="44"/>
      <c r="D207" s="44"/>
      <c r="E207" s="44"/>
      <c r="F207" s="44"/>
      <c r="G207" s="44"/>
      <c r="H207" s="44"/>
      <c r="I207" s="45"/>
      <c r="J207" s="44"/>
      <c r="K207" s="44"/>
      <c r="L207" s="44"/>
      <c r="M207" s="44"/>
      <c r="N207" s="44"/>
      <c r="O207" s="44"/>
      <c r="P207" s="44"/>
      <c r="Q207" s="44"/>
      <c r="R207" s="44"/>
      <c r="S207" s="44"/>
      <c r="T207" s="44"/>
      <c r="U207" s="44"/>
      <c r="V207" s="44"/>
      <c r="W207" s="44"/>
      <c r="X207" s="44"/>
      <c r="Y207" s="44"/>
      <c r="Z207" s="44"/>
    </row>
    <row r="208" spans="1:26" ht="15.75" customHeight="1" x14ac:dyDescent="0.25">
      <c r="A208" s="44"/>
      <c r="B208" s="44"/>
      <c r="C208" s="44"/>
      <c r="D208" s="44"/>
      <c r="E208" s="44"/>
      <c r="F208" s="44"/>
      <c r="G208" s="44"/>
      <c r="H208" s="44"/>
      <c r="I208" s="45"/>
      <c r="J208" s="44"/>
      <c r="K208" s="44"/>
      <c r="L208" s="44"/>
      <c r="M208" s="44"/>
      <c r="N208" s="44"/>
      <c r="O208" s="44"/>
      <c r="P208" s="44"/>
      <c r="Q208" s="44"/>
      <c r="R208" s="44"/>
      <c r="S208" s="44"/>
      <c r="T208" s="44"/>
      <c r="U208" s="44"/>
      <c r="V208" s="44"/>
      <c r="W208" s="44"/>
      <c r="X208" s="44"/>
      <c r="Y208" s="44"/>
      <c r="Z208" s="44"/>
    </row>
    <row r="209" spans="1:26" ht="15.75" customHeight="1" x14ac:dyDescent="0.25">
      <c r="A209" s="44"/>
      <c r="B209" s="44"/>
      <c r="C209" s="44"/>
      <c r="D209" s="44"/>
      <c r="E209" s="44"/>
      <c r="F209" s="44"/>
      <c r="G209" s="44"/>
      <c r="H209" s="44"/>
      <c r="I209" s="45"/>
      <c r="J209" s="44"/>
      <c r="K209" s="44"/>
      <c r="L209" s="44"/>
      <c r="M209" s="44"/>
      <c r="N209" s="44"/>
      <c r="O209" s="44"/>
      <c r="P209" s="44"/>
      <c r="Q209" s="44"/>
      <c r="R209" s="44"/>
      <c r="S209" s="44"/>
      <c r="T209" s="44"/>
      <c r="U209" s="44"/>
      <c r="V209" s="44"/>
      <c r="W209" s="44"/>
      <c r="X209" s="44"/>
      <c r="Y209" s="44"/>
      <c r="Z209" s="44"/>
    </row>
    <row r="210" spans="1:26" ht="15.75" customHeight="1" x14ac:dyDescent="0.25">
      <c r="A210" s="44"/>
      <c r="B210" s="44"/>
      <c r="C210" s="44"/>
      <c r="D210" s="44"/>
      <c r="E210" s="44"/>
      <c r="F210" s="44"/>
      <c r="G210" s="44"/>
      <c r="H210" s="44"/>
      <c r="I210" s="45"/>
      <c r="J210" s="44"/>
      <c r="K210" s="44"/>
      <c r="L210" s="44"/>
      <c r="M210" s="44"/>
      <c r="N210" s="44"/>
      <c r="O210" s="44"/>
      <c r="P210" s="44"/>
      <c r="Q210" s="44"/>
      <c r="R210" s="44"/>
      <c r="S210" s="44"/>
      <c r="T210" s="44"/>
      <c r="U210" s="44"/>
      <c r="V210" s="44"/>
      <c r="W210" s="44"/>
      <c r="X210" s="44"/>
      <c r="Y210" s="44"/>
      <c r="Z210" s="44"/>
    </row>
    <row r="211" spans="1:26" ht="15.75" customHeight="1" x14ac:dyDescent="0.25">
      <c r="A211" s="44"/>
      <c r="B211" s="44"/>
      <c r="C211" s="44"/>
      <c r="D211" s="44"/>
      <c r="E211" s="44"/>
      <c r="F211" s="44"/>
      <c r="G211" s="44"/>
      <c r="H211" s="44"/>
      <c r="I211" s="45"/>
      <c r="J211" s="44"/>
      <c r="K211" s="44"/>
      <c r="L211" s="44"/>
      <c r="M211" s="44"/>
      <c r="N211" s="44"/>
      <c r="O211" s="44"/>
      <c r="P211" s="44"/>
      <c r="Q211" s="44"/>
      <c r="R211" s="44"/>
      <c r="S211" s="44"/>
      <c r="T211" s="44"/>
      <c r="U211" s="44"/>
      <c r="V211" s="44"/>
      <c r="W211" s="44"/>
      <c r="X211" s="44"/>
      <c r="Y211" s="44"/>
      <c r="Z211" s="44"/>
    </row>
    <row r="212" spans="1:26" ht="15.75" customHeight="1" x14ac:dyDescent="0.25">
      <c r="A212" s="44"/>
      <c r="B212" s="44"/>
      <c r="C212" s="44"/>
      <c r="D212" s="44"/>
      <c r="E212" s="44"/>
      <c r="F212" s="44"/>
      <c r="G212" s="44"/>
      <c r="H212" s="44"/>
      <c r="I212" s="45"/>
      <c r="J212" s="44"/>
      <c r="K212" s="44"/>
      <c r="L212" s="44"/>
      <c r="M212" s="44"/>
      <c r="N212" s="44"/>
      <c r="O212" s="44"/>
      <c r="P212" s="44"/>
      <c r="Q212" s="44"/>
      <c r="R212" s="44"/>
      <c r="S212" s="44"/>
      <c r="T212" s="44"/>
      <c r="U212" s="44"/>
      <c r="V212" s="44"/>
      <c r="W212" s="44"/>
      <c r="X212" s="44"/>
      <c r="Y212" s="44"/>
      <c r="Z212" s="44"/>
    </row>
    <row r="213" spans="1:26" ht="15.75" customHeight="1" x14ac:dyDescent="0.25">
      <c r="A213" s="44"/>
      <c r="B213" s="44"/>
      <c r="C213" s="44"/>
      <c r="D213" s="44"/>
      <c r="E213" s="44"/>
      <c r="F213" s="44"/>
      <c r="G213" s="44"/>
      <c r="H213" s="44"/>
      <c r="I213" s="45"/>
      <c r="J213" s="44"/>
      <c r="K213" s="44"/>
      <c r="L213" s="44"/>
      <c r="M213" s="44"/>
      <c r="N213" s="44"/>
      <c r="O213" s="44"/>
      <c r="P213" s="44"/>
      <c r="Q213" s="44"/>
      <c r="R213" s="44"/>
      <c r="S213" s="44"/>
      <c r="T213" s="44"/>
      <c r="U213" s="44"/>
      <c r="V213" s="44"/>
      <c r="W213" s="44"/>
      <c r="X213" s="44"/>
      <c r="Y213" s="44"/>
      <c r="Z213" s="44"/>
    </row>
    <row r="214" spans="1:26" ht="15.75" customHeight="1" x14ac:dyDescent="0.25">
      <c r="A214" s="44"/>
      <c r="B214" s="44"/>
      <c r="C214" s="44"/>
      <c r="D214" s="44"/>
      <c r="E214" s="44"/>
      <c r="F214" s="44"/>
      <c r="G214" s="44"/>
      <c r="H214" s="44"/>
      <c r="I214" s="45"/>
      <c r="J214" s="44"/>
      <c r="K214" s="44"/>
      <c r="L214" s="44"/>
      <c r="M214" s="44"/>
      <c r="N214" s="44"/>
      <c r="O214" s="44"/>
      <c r="P214" s="44"/>
      <c r="Q214" s="44"/>
      <c r="R214" s="44"/>
      <c r="S214" s="44"/>
      <c r="T214" s="44"/>
      <c r="U214" s="44"/>
      <c r="V214" s="44"/>
      <c r="W214" s="44"/>
      <c r="X214" s="44"/>
      <c r="Y214" s="44"/>
      <c r="Z214" s="44"/>
    </row>
    <row r="215" spans="1:26" ht="15.75" customHeight="1" x14ac:dyDescent="0.25">
      <c r="A215" s="44"/>
      <c r="B215" s="44"/>
      <c r="C215" s="44"/>
      <c r="D215" s="44"/>
      <c r="E215" s="44"/>
      <c r="F215" s="44"/>
      <c r="G215" s="44"/>
      <c r="H215" s="44"/>
      <c r="I215" s="45"/>
      <c r="J215" s="44"/>
      <c r="K215" s="44"/>
      <c r="L215" s="44"/>
      <c r="M215" s="44"/>
      <c r="N215" s="44"/>
      <c r="O215" s="44"/>
      <c r="P215" s="44"/>
      <c r="Q215" s="44"/>
      <c r="R215" s="44"/>
      <c r="S215" s="44"/>
      <c r="T215" s="44"/>
      <c r="U215" s="44"/>
      <c r="V215" s="44"/>
      <c r="W215" s="44"/>
      <c r="X215" s="44"/>
      <c r="Y215" s="44"/>
      <c r="Z215" s="44"/>
    </row>
    <row r="216" spans="1:26" ht="15.75" customHeight="1" x14ac:dyDescent="0.25">
      <c r="A216" s="44"/>
      <c r="B216" s="44"/>
      <c r="C216" s="44"/>
      <c r="D216" s="44"/>
      <c r="E216" s="44"/>
      <c r="F216" s="44"/>
      <c r="G216" s="44"/>
      <c r="H216" s="44"/>
      <c r="I216" s="45"/>
      <c r="J216" s="44"/>
      <c r="K216" s="44"/>
      <c r="L216" s="44"/>
      <c r="M216" s="44"/>
      <c r="N216" s="44"/>
      <c r="O216" s="44"/>
      <c r="P216" s="44"/>
      <c r="Q216" s="44"/>
      <c r="R216" s="44"/>
      <c r="S216" s="44"/>
      <c r="T216" s="44"/>
      <c r="U216" s="44"/>
      <c r="V216" s="44"/>
      <c r="W216" s="44"/>
      <c r="X216" s="44"/>
      <c r="Y216" s="44"/>
      <c r="Z216" s="44"/>
    </row>
    <row r="217" spans="1:26" ht="15.75" customHeight="1" x14ac:dyDescent="0.25">
      <c r="A217" s="44"/>
      <c r="B217" s="44"/>
      <c r="C217" s="44"/>
      <c r="D217" s="44"/>
      <c r="E217" s="44"/>
      <c r="F217" s="44"/>
      <c r="G217" s="44"/>
      <c r="H217" s="44"/>
      <c r="I217" s="45"/>
      <c r="J217" s="44"/>
      <c r="K217" s="44"/>
      <c r="L217" s="44"/>
      <c r="M217" s="44"/>
      <c r="N217" s="44"/>
      <c r="O217" s="44"/>
      <c r="P217" s="44"/>
      <c r="Q217" s="44"/>
      <c r="R217" s="44"/>
      <c r="S217" s="44"/>
      <c r="T217" s="44"/>
      <c r="U217" s="44"/>
      <c r="V217" s="44"/>
      <c r="W217" s="44"/>
      <c r="X217" s="44"/>
      <c r="Y217" s="44"/>
      <c r="Z217" s="44"/>
    </row>
    <row r="218" spans="1:26" ht="15.75" customHeight="1" x14ac:dyDescent="0.25">
      <c r="A218" s="44"/>
      <c r="B218" s="44"/>
      <c r="C218" s="44"/>
      <c r="D218" s="44"/>
      <c r="E218" s="44"/>
      <c r="F218" s="44"/>
      <c r="G218" s="44"/>
      <c r="H218" s="44"/>
      <c r="I218" s="45"/>
      <c r="J218" s="44"/>
      <c r="K218" s="44"/>
      <c r="L218" s="44"/>
      <c r="M218" s="44"/>
      <c r="N218" s="44"/>
      <c r="O218" s="44"/>
      <c r="P218" s="44"/>
      <c r="Q218" s="44"/>
      <c r="R218" s="44"/>
      <c r="S218" s="44"/>
      <c r="T218" s="44"/>
      <c r="U218" s="44"/>
      <c r="V218" s="44"/>
      <c r="W218" s="44"/>
      <c r="X218" s="44"/>
      <c r="Y218" s="44"/>
      <c r="Z218" s="44"/>
    </row>
    <row r="219" spans="1:26" ht="15.75" customHeight="1" x14ac:dyDescent="0.25">
      <c r="A219" s="44"/>
      <c r="B219" s="44"/>
      <c r="C219" s="44"/>
      <c r="D219" s="44"/>
      <c r="E219" s="44"/>
      <c r="F219" s="44"/>
      <c r="G219" s="44"/>
      <c r="H219" s="44"/>
      <c r="I219" s="45"/>
      <c r="J219" s="44"/>
      <c r="K219" s="44"/>
      <c r="L219" s="44"/>
      <c r="M219" s="44"/>
      <c r="N219" s="44"/>
      <c r="O219" s="44"/>
      <c r="P219" s="44"/>
      <c r="Q219" s="44"/>
      <c r="R219" s="44"/>
      <c r="S219" s="44"/>
      <c r="T219" s="44"/>
      <c r="U219" s="44"/>
      <c r="V219" s="44"/>
      <c r="W219" s="44"/>
      <c r="X219" s="44"/>
      <c r="Y219" s="44"/>
      <c r="Z219" s="44"/>
    </row>
    <row r="220" spans="1:26" ht="15.75" customHeight="1" x14ac:dyDescent="0.25">
      <c r="A220" s="44"/>
      <c r="B220" s="44"/>
      <c r="C220" s="44"/>
      <c r="D220" s="44"/>
      <c r="E220" s="44"/>
      <c r="F220" s="44"/>
      <c r="G220" s="44"/>
      <c r="H220" s="44"/>
      <c r="I220" s="45"/>
      <c r="J220" s="44"/>
      <c r="K220" s="44"/>
      <c r="L220" s="44"/>
      <c r="M220" s="44"/>
      <c r="N220" s="44"/>
      <c r="O220" s="44"/>
      <c r="P220" s="44"/>
      <c r="Q220" s="44"/>
      <c r="R220" s="44"/>
      <c r="S220" s="44"/>
      <c r="T220" s="44"/>
      <c r="U220" s="44"/>
      <c r="V220" s="44"/>
      <c r="W220" s="44"/>
      <c r="X220" s="44"/>
      <c r="Y220" s="44"/>
      <c r="Z220" s="44"/>
    </row>
    <row r="221" spans="1:26" ht="15.75" customHeight="1" x14ac:dyDescent="0.25">
      <c r="A221" s="44"/>
      <c r="B221" s="44"/>
      <c r="C221" s="44"/>
      <c r="D221" s="44"/>
      <c r="E221" s="44"/>
      <c r="F221" s="44"/>
      <c r="G221" s="44"/>
      <c r="H221" s="44"/>
      <c r="I221" s="45"/>
      <c r="J221" s="44"/>
      <c r="K221" s="44"/>
      <c r="L221" s="44"/>
      <c r="M221" s="44"/>
      <c r="N221" s="44"/>
      <c r="O221" s="44"/>
      <c r="P221" s="44"/>
      <c r="Q221" s="44"/>
      <c r="R221" s="44"/>
      <c r="S221" s="44"/>
      <c r="T221" s="44"/>
      <c r="U221" s="44"/>
      <c r="V221" s="44"/>
      <c r="W221" s="44"/>
      <c r="X221" s="44"/>
      <c r="Y221" s="44"/>
      <c r="Z221" s="44"/>
    </row>
    <row r="222" spans="1:26" ht="15.75" customHeight="1" x14ac:dyDescent="0.25">
      <c r="A222" s="44"/>
      <c r="B222" s="44"/>
      <c r="C222" s="44"/>
      <c r="D222" s="44"/>
      <c r="E222" s="44"/>
      <c r="F222" s="44"/>
      <c r="G222" s="44"/>
      <c r="H222" s="44"/>
      <c r="I222" s="45"/>
      <c r="J222" s="44"/>
      <c r="K222" s="44"/>
      <c r="L222" s="44"/>
      <c r="M222" s="44"/>
      <c r="N222" s="44"/>
      <c r="O222" s="44"/>
      <c r="P222" s="44"/>
      <c r="Q222" s="44"/>
      <c r="R222" s="44"/>
      <c r="S222" s="44"/>
      <c r="T222" s="44"/>
      <c r="U222" s="44"/>
      <c r="V222" s="44"/>
      <c r="W222" s="44"/>
      <c r="X222" s="44"/>
      <c r="Y222" s="44"/>
      <c r="Z222" s="44"/>
    </row>
    <row r="223" spans="1:26" ht="15.75" customHeight="1" x14ac:dyDescent="0.25">
      <c r="A223" s="44"/>
      <c r="B223" s="44"/>
      <c r="C223" s="44"/>
      <c r="D223" s="44"/>
      <c r="E223" s="44"/>
      <c r="F223" s="44"/>
      <c r="G223" s="44"/>
      <c r="H223" s="44"/>
      <c r="I223" s="45"/>
      <c r="J223" s="44"/>
      <c r="K223" s="44"/>
      <c r="L223" s="44"/>
      <c r="M223" s="44"/>
      <c r="N223" s="44"/>
      <c r="O223" s="44"/>
      <c r="P223" s="44"/>
      <c r="Q223" s="44"/>
      <c r="R223" s="44"/>
      <c r="S223" s="44"/>
      <c r="T223" s="44"/>
      <c r="U223" s="44"/>
      <c r="V223" s="44"/>
      <c r="W223" s="44"/>
      <c r="X223" s="44"/>
      <c r="Y223" s="44"/>
      <c r="Z223" s="44"/>
    </row>
    <row r="224" spans="1:26" ht="15.75" customHeight="1" x14ac:dyDescent="0.25">
      <c r="A224" s="44"/>
      <c r="B224" s="44"/>
      <c r="C224" s="44"/>
      <c r="D224" s="44"/>
      <c r="E224" s="44"/>
      <c r="F224" s="44"/>
      <c r="G224" s="44"/>
      <c r="H224" s="44"/>
      <c r="I224" s="45"/>
      <c r="J224" s="44"/>
      <c r="K224" s="44"/>
      <c r="L224" s="44"/>
      <c r="M224" s="44"/>
      <c r="N224" s="44"/>
      <c r="O224" s="44"/>
      <c r="P224" s="44"/>
      <c r="Q224" s="44"/>
      <c r="R224" s="44"/>
      <c r="S224" s="44"/>
      <c r="T224" s="44"/>
      <c r="U224" s="44"/>
      <c r="V224" s="44"/>
      <c r="W224" s="44"/>
      <c r="X224" s="44"/>
      <c r="Y224" s="44"/>
      <c r="Z224" s="44"/>
    </row>
    <row r="225" spans="1:26" ht="15.75" customHeight="1" x14ac:dyDescent="0.25">
      <c r="A225" s="44"/>
      <c r="B225" s="44"/>
      <c r="C225" s="44"/>
      <c r="D225" s="44"/>
      <c r="E225" s="44"/>
      <c r="F225" s="44"/>
      <c r="G225" s="44"/>
      <c r="H225" s="44"/>
      <c r="I225" s="45"/>
      <c r="J225" s="44"/>
      <c r="K225" s="44"/>
      <c r="L225" s="44"/>
      <c r="M225" s="44"/>
      <c r="N225" s="44"/>
      <c r="O225" s="44"/>
      <c r="P225" s="44"/>
      <c r="Q225" s="44"/>
      <c r="R225" s="44"/>
      <c r="S225" s="44"/>
      <c r="T225" s="44"/>
      <c r="U225" s="44"/>
      <c r="V225" s="44"/>
      <c r="W225" s="44"/>
      <c r="X225" s="44"/>
      <c r="Y225" s="44"/>
      <c r="Z225" s="44"/>
    </row>
    <row r="226" spans="1:26" ht="15.75" customHeight="1" x14ac:dyDescent="0.25">
      <c r="A226" s="44"/>
      <c r="B226" s="44"/>
      <c r="C226" s="44"/>
      <c r="D226" s="44"/>
      <c r="E226" s="44"/>
      <c r="F226" s="44"/>
      <c r="G226" s="44"/>
      <c r="H226" s="44"/>
      <c r="I226" s="45"/>
      <c r="J226" s="44"/>
      <c r="K226" s="44"/>
      <c r="L226" s="44"/>
      <c r="M226" s="44"/>
      <c r="N226" s="44"/>
      <c r="O226" s="44"/>
      <c r="P226" s="44"/>
      <c r="Q226" s="44"/>
      <c r="R226" s="44"/>
      <c r="S226" s="44"/>
      <c r="T226" s="44"/>
      <c r="U226" s="44"/>
      <c r="V226" s="44"/>
      <c r="W226" s="44"/>
      <c r="X226" s="44"/>
      <c r="Y226" s="44"/>
      <c r="Z226" s="44"/>
    </row>
    <row r="227" spans="1:26" ht="15.75" customHeight="1" x14ac:dyDescent="0.25">
      <c r="A227" s="44"/>
      <c r="B227" s="44"/>
      <c r="C227" s="44"/>
      <c r="D227" s="44"/>
      <c r="E227" s="44"/>
      <c r="F227" s="44"/>
      <c r="G227" s="44"/>
      <c r="H227" s="44"/>
      <c r="I227" s="45"/>
      <c r="J227" s="44"/>
      <c r="K227" s="44"/>
      <c r="L227" s="44"/>
      <c r="M227" s="44"/>
      <c r="N227" s="44"/>
      <c r="O227" s="44"/>
      <c r="P227" s="44"/>
      <c r="Q227" s="44"/>
      <c r="R227" s="44"/>
      <c r="S227" s="44"/>
      <c r="T227" s="44"/>
      <c r="U227" s="44"/>
      <c r="V227" s="44"/>
      <c r="W227" s="44"/>
      <c r="X227" s="44"/>
      <c r="Y227" s="44"/>
      <c r="Z227" s="44"/>
    </row>
    <row r="228" spans="1:26" ht="15.75" customHeight="1" x14ac:dyDescent="0.25">
      <c r="A228" s="44"/>
      <c r="B228" s="44"/>
      <c r="C228" s="44"/>
      <c r="D228" s="44"/>
      <c r="E228" s="44"/>
      <c r="F228" s="44"/>
      <c r="G228" s="44"/>
      <c r="H228" s="44"/>
      <c r="I228" s="45"/>
      <c r="J228" s="44"/>
      <c r="K228" s="44"/>
      <c r="L228" s="44"/>
      <c r="M228" s="44"/>
      <c r="N228" s="44"/>
      <c r="O228" s="44"/>
      <c r="P228" s="44"/>
      <c r="Q228" s="44"/>
      <c r="R228" s="44"/>
      <c r="S228" s="44"/>
      <c r="T228" s="44"/>
      <c r="U228" s="44"/>
      <c r="V228" s="44"/>
      <c r="W228" s="44"/>
      <c r="X228" s="44"/>
      <c r="Y228" s="44"/>
      <c r="Z228" s="44"/>
    </row>
    <row r="229" spans="1:26" ht="15.75" customHeight="1" x14ac:dyDescent="0.25">
      <c r="A229" s="44"/>
      <c r="B229" s="44"/>
      <c r="C229" s="44"/>
      <c r="D229" s="44"/>
      <c r="E229" s="44"/>
      <c r="F229" s="44"/>
      <c r="G229" s="44"/>
      <c r="H229" s="44"/>
      <c r="I229" s="45"/>
      <c r="J229" s="44"/>
      <c r="K229" s="44"/>
      <c r="L229" s="44"/>
      <c r="M229" s="44"/>
      <c r="N229" s="44"/>
      <c r="O229" s="44"/>
      <c r="P229" s="44"/>
      <c r="Q229" s="44"/>
      <c r="R229" s="44"/>
      <c r="S229" s="44"/>
      <c r="T229" s="44"/>
      <c r="U229" s="44"/>
      <c r="V229" s="44"/>
      <c r="W229" s="44"/>
      <c r="X229" s="44"/>
      <c r="Y229" s="44"/>
      <c r="Z229" s="44"/>
    </row>
    <row r="230" spans="1:26" ht="15.75" customHeight="1" x14ac:dyDescent="0.25">
      <c r="A230" s="44"/>
      <c r="B230" s="44"/>
      <c r="C230" s="44"/>
      <c r="D230" s="44"/>
      <c r="E230" s="44"/>
      <c r="F230" s="44"/>
      <c r="G230" s="44"/>
      <c r="H230" s="44"/>
      <c r="I230" s="45"/>
      <c r="J230" s="44"/>
      <c r="K230" s="44"/>
      <c r="L230" s="44"/>
      <c r="M230" s="44"/>
      <c r="N230" s="44"/>
      <c r="O230" s="44"/>
      <c r="P230" s="44"/>
      <c r="Q230" s="44"/>
      <c r="R230" s="44"/>
      <c r="S230" s="44"/>
      <c r="T230" s="44"/>
      <c r="U230" s="44"/>
      <c r="V230" s="44"/>
      <c r="W230" s="44"/>
      <c r="X230" s="44"/>
      <c r="Y230" s="44"/>
      <c r="Z230" s="44"/>
    </row>
    <row r="231" spans="1:26" ht="15.75" customHeight="1" x14ac:dyDescent="0.25">
      <c r="A231" s="44"/>
      <c r="B231" s="44"/>
      <c r="C231" s="44"/>
      <c r="D231" s="44"/>
      <c r="E231" s="44"/>
      <c r="F231" s="44"/>
      <c r="G231" s="44"/>
      <c r="H231" s="44"/>
      <c r="I231" s="45"/>
      <c r="J231" s="44"/>
      <c r="K231" s="44"/>
      <c r="L231" s="44"/>
      <c r="M231" s="44"/>
      <c r="N231" s="44"/>
      <c r="O231" s="44"/>
      <c r="P231" s="44"/>
      <c r="Q231" s="44"/>
      <c r="R231" s="44"/>
      <c r="S231" s="44"/>
      <c r="T231" s="44"/>
      <c r="U231" s="44"/>
      <c r="V231" s="44"/>
      <c r="W231" s="44"/>
      <c r="X231" s="44"/>
      <c r="Y231" s="44"/>
      <c r="Z231" s="44"/>
    </row>
    <row r="232" spans="1:26" ht="15.75" customHeight="1" x14ac:dyDescent="0.25">
      <c r="A232" s="44"/>
      <c r="B232" s="44"/>
      <c r="C232" s="44"/>
      <c r="D232" s="44"/>
      <c r="E232" s="44"/>
      <c r="F232" s="44"/>
      <c r="G232" s="44"/>
      <c r="H232" s="44"/>
      <c r="I232" s="45"/>
      <c r="J232" s="44"/>
      <c r="K232" s="44"/>
      <c r="L232" s="44"/>
      <c r="M232" s="44"/>
      <c r="N232" s="44"/>
      <c r="O232" s="44"/>
      <c r="P232" s="44"/>
      <c r="Q232" s="44"/>
      <c r="R232" s="44"/>
      <c r="S232" s="44"/>
      <c r="T232" s="44"/>
      <c r="U232" s="44"/>
      <c r="V232" s="44"/>
      <c r="W232" s="44"/>
      <c r="X232" s="44"/>
      <c r="Y232" s="44"/>
      <c r="Z232" s="44"/>
    </row>
    <row r="233" spans="1:26" ht="15.75" customHeight="1" x14ac:dyDescent="0.25">
      <c r="A233" s="44"/>
      <c r="B233" s="44"/>
      <c r="C233" s="44"/>
      <c r="D233" s="44"/>
      <c r="E233" s="44"/>
      <c r="F233" s="44"/>
      <c r="G233" s="44"/>
      <c r="H233" s="44"/>
      <c r="I233" s="45"/>
      <c r="J233" s="44"/>
      <c r="K233" s="44"/>
      <c r="L233" s="44"/>
      <c r="M233" s="44"/>
      <c r="N233" s="44"/>
      <c r="O233" s="44"/>
      <c r="P233" s="44"/>
      <c r="Q233" s="44"/>
      <c r="R233" s="44"/>
      <c r="S233" s="44"/>
      <c r="T233" s="44"/>
      <c r="U233" s="44"/>
      <c r="V233" s="44"/>
      <c r="W233" s="44"/>
      <c r="X233" s="44"/>
      <c r="Y233" s="44"/>
      <c r="Z233" s="44"/>
    </row>
    <row r="234" spans="1:26" ht="15.75" customHeight="1" x14ac:dyDescent="0.25">
      <c r="A234" s="44"/>
      <c r="B234" s="44"/>
      <c r="C234" s="44"/>
      <c r="D234" s="44"/>
      <c r="E234" s="44"/>
      <c r="F234" s="44"/>
      <c r="G234" s="44"/>
      <c r="H234" s="44"/>
      <c r="I234" s="45"/>
      <c r="J234" s="44"/>
      <c r="K234" s="44"/>
      <c r="L234" s="44"/>
      <c r="M234" s="44"/>
      <c r="N234" s="44"/>
      <c r="O234" s="44"/>
      <c r="P234" s="44"/>
      <c r="Q234" s="44"/>
      <c r="R234" s="44"/>
      <c r="S234" s="44"/>
      <c r="T234" s="44"/>
      <c r="U234" s="44"/>
      <c r="V234" s="44"/>
      <c r="W234" s="44"/>
      <c r="X234" s="44"/>
      <c r="Y234" s="44"/>
      <c r="Z234" s="44"/>
    </row>
    <row r="235" spans="1:26" ht="15.75" customHeight="1" x14ac:dyDescent="0.25">
      <c r="A235" s="44"/>
      <c r="B235" s="44"/>
      <c r="C235" s="44"/>
      <c r="D235" s="44"/>
      <c r="E235" s="44"/>
      <c r="F235" s="44"/>
      <c r="G235" s="44"/>
      <c r="H235" s="44"/>
      <c r="I235" s="45"/>
      <c r="J235" s="44"/>
      <c r="K235" s="44"/>
      <c r="L235" s="44"/>
      <c r="M235" s="44"/>
      <c r="N235" s="44"/>
      <c r="O235" s="44"/>
      <c r="P235" s="44"/>
      <c r="Q235" s="44"/>
      <c r="R235" s="44"/>
      <c r="S235" s="44"/>
      <c r="T235" s="44"/>
      <c r="U235" s="44"/>
      <c r="V235" s="44"/>
      <c r="W235" s="44"/>
      <c r="X235" s="44"/>
      <c r="Y235" s="44"/>
      <c r="Z235" s="44"/>
    </row>
    <row r="236" spans="1:26" ht="15.75" customHeight="1" x14ac:dyDescent="0.25">
      <c r="A236" s="44"/>
      <c r="B236" s="44"/>
      <c r="C236" s="44"/>
      <c r="D236" s="44"/>
      <c r="E236" s="44"/>
      <c r="F236" s="44"/>
      <c r="G236" s="44"/>
      <c r="H236" s="44"/>
      <c r="I236" s="45"/>
      <c r="J236" s="44"/>
      <c r="K236" s="44"/>
      <c r="L236" s="44"/>
      <c r="M236" s="44"/>
      <c r="N236" s="44"/>
      <c r="O236" s="44"/>
      <c r="P236" s="44"/>
      <c r="Q236" s="44"/>
      <c r="R236" s="44"/>
      <c r="S236" s="44"/>
      <c r="T236" s="44"/>
      <c r="U236" s="44"/>
      <c r="V236" s="44"/>
      <c r="W236" s="44"/>
      <c r="X236" s="44"/>
      <c r="Y236" s="44"/>
      <c r="Z236" s="44"/>
    </row>
    <row r="237" spans="1:26" ht="15.75" customHeight="1" x14ac:dyDescent="0.25">
      <c r="A237" s="44"/>
      <c r="B237" s="44"/>
      <c r="C237" s="44"/>
      <c r="D237" s="44"/>
      <c r="E237" s="44"/>
      <c r="F237" s="44"/>
      <c r="G237" s="44"/>
      <c r="H237" s="44"/>
      <c r="I237" s="45"/>
      <c r="J237" s="44"/>
      <c r="K237" s="44"/>
      <c r="L237" s="44"/>
      <c r="M237" s="44"/>
      <c r="N237" s="44"/>
      <c r="O237" s="44"/>
      <c r="P237" s="44"/>
      <c r="Q237" s="44"/>
      <c r="R237" s="44"/>
      <c r="S237" s="44"/>
      <c r="T237" s="44"/>
      <c r="U237" s="44"/>
      <c r="V237" s="44"/>
      <c r="W237" s="44"/>
      <c r="X237" s="44"/>
      <c r="Y237" s="44"/>
      <c r="Z237" s="44"/>
    </row>
    <row r="238" spans="1:26" ht="15.75" customHeight="1" x14ac:dyDescent="0.25">
      <c r="A238" s="44"/>
      <c r="B238" s="44"/>
      <c r="C238" s="44"/>
      <c r="D238" s="44"/>
      <c r="E238" s="44"/>
      <c r="F238" s="44"/>
      <c r="G238" s="44"/>
      <c r="H238" s="44"/>
      <c r="I238" s="45"/>
      <c r="J238" s="44"/>
      <c r="K238" s="44"/>
      <c r="L238" s="44"/>
      <c r="M238" s="44"/>
      <c r="N238" s="44"/>
      <c r="O238" s="44"/>
      <c r="P238" s="44"/>
      <c r="Q238" s="44"/>
      <c r="R238" s="44"/>
      <c r="S238" s="44"/>
      <c r="T238" s="44"/>
      <c r="U238" s="44"/>
      <c r="V238" s="44"/>
      <c r="W238" s="44"/>
      <c r="X238" s="44"/>
      <c r="Y238" s="44"/>
      <c r="Z238" s="44"/>
    </row>
    <row r="239" spans="1:26" ht="15.75" customHeight="1" x14ac:dyDescent="0.25">
      <c r="A239" s="44"/>
      <c r="B239" s="44"/>
      <c r="C239" s="44"/>
      <c r="D239" s="44"/>
      <c r="E239" s="44"/>
      <c r="F239" s="44"/>
      <c r="G239" s="44"/>
      <c r="H239" s="44"/>
      <c r="I239" s="45"/>
      <c r="J239" s="44"/>
      <c r="K239" s="44"/>
      <c r="L239" s="44"/>
      <c r="M239" s="44"/>
      <c r="N239" s="44"/>
      <c r="O239" s="44"/>
      <c r="P239" s="44"/>
      <c r="Q239" s="44"/>
      <c r="R239" s="44"/>
      <c r="S239" s="44"/>
      <c r="T239" s="44"/>
      <c r="U239" s="44"/>
      <c r="V239" s="44"/>
      <c r="W239" s="44"/>
      <c r="X239" s="44"/>
      <c r="Y239" s="44"/>
      <c r="Z239" s="44"/>
    </row>
    <row r="240" spans="1:26" ht="15.75" customHeight="1" x14ac:dyDescent="0.25">
      <c r="A240" s="44"/>
      <c r="B240" s="44"/>
      <c r="C240" s="44"/>
      <c r="D240" s="44"/>
      <c r="E240" s="44"/>
      <c r="F240" s="44"/>
      <c r="G240" s="44"/>
      <c r="H240" s="44"/>
      <c r="I240" s="45"/>
      <c r="J240" s="44"/>
      <c r="K240" s="44"/>
      <c r="L240" s="44"/>
      <c r="M240" s="44"/>
      <c r="N240" s="44"/>
      <c r="O240" s="44"/>
      <c r="P240" s="44"/>
      <c r="Q240" s="44"/>
      <c r="R240" s="44"/>
      <c r="S240" s="44"/>
      <c r="T240" s="44"/>
      <c r="U240" s="44"/>
      <c r="V240" s="44"/>
      <c r="W240" s="44"/>
      <c r="X240" s="44"/>
      <c r="Y240" s="44"/>
      <c r="Z240" s="44"/>
    </row>
    <row r="241" spans="1:26" ht="15.75" customHeight="1" x14ac:dyDescent="0.25">
      <c r="A241" s="44"/>
      <c r="B241" s="44"/>
      <c r="C241" s="44"/>
      <c r="D241" s="44"/>
      <c r="E241" s="44"/>
      <c r="F241" s="44"/>
      <c r="G241" s="44"/>
      <c r="H241" s="44"/>
      <c r="I241" s="45"/>
      <c r="J241" s="44"/>
      <c r="K241" s="44"/>
      <c r="L241" s="44"/>
      <c r="M241" s="44"/>
      <c r="N241" s="44"/>
      <c r="O241" s="44"/>
      <c r="P241" s="44"/>
      <c r="Q241" s="44"/>
      <c r="R241" s="44"/>
      <c r="S241" s="44"/>
      <c r="T241" s="44"/>
      <c r="U241" s="44"/>
      <c r="V241" s="44"/>
      <c r="W241" s="44"/>
      <c r="X241" s="44"/>
      <c r="Y241" s="44"/>
      <c r="Z241" s="44"/>
    </row>
    <row r="242" spans="1:26" ht="15.75" customHeight="1" x14ac:dyDescent="0.25">
      <c r="A242" s="44"/>
      <c r="B242" s="44"/>
      <c r="C242" s="44"/>
      <c r="D242" s="44"/>
      <c r="E242" s="44"/>
      <c r="F242" s="44"/>
      <c r="G242" s="44"/>
      <c r="H242" s="44"/>
      <c r="I242" s="45"/>
      <c r="J242" s="44"/>
      <c r="K242" s="44"/>
      <c r="L242" s="44"/>
      <c r="M242" s="44"/>
      <c r="N242" s="44"/>
      <c r="O242" s="44"/>
      <c r="P242" s="44"/>
      <c r="Q242" s="44"/>
      <c r="R242" s="44"/>
      <c r="S242" s="44"/>
      <c r="T242" s="44"/>
      <c r="U242" s="44"/>
      <c r="V242" s="44"/>
      <c r="W242" s="44"/>
      <c r="X242" s="44"/>
      <c r="Y242" s="44"/>
      <c r="Z242" s="44"/>
    </row>
    <row r="243" spans="1:26" ht="15.75" customHeight="1" x14ac:dyDescent="0.25">
      <c r="A243" s="44"/>
      <c r="B243" s="44"/>
      <c r="C243" s="44"/>
      <c r="D243" s="44"/>
      <c r="E243" s="44"/>
      <c r="F243" s="44"/>
      <c r="G243" s="44"/>
      <c r="H243" s="44"/>
      <c r="I243" s="45"/>
      <c r="J243" s="44"/>
      <c r="K243" s="44"/>
      <c r="L243" s="44"/>
      <c r="M243" s="44"/>
      <c r="N243" s="44"/>
      <c r="O243" s="44"/>
      <c r="P243" s="44"/>
      <c r="Q243" s="44"/>
      <c r="R243" s="44"/>
      <c r="S243" s="44"/>
      <c r="T243" s="44"/>
      <c r="U243" s="44"/>
      <c r="V243" s="44"/>
      <c r="W243" s="44"/>
      <c r="X243" s="44"/>
      <c r="Y243" s="44"/>
      <c r="Z243" s="44"/>
    </row>
    <row r="244" spans="1:26" ht="15.75" customHeight="1" x14ac:dyDescent="0.25">
      <c r="A244" s="44"/>
      <c r="B244" s="44"/>
      <c r="C244" s="44"/>
      <c r="D244" s="44"/>
      <c r="E244" s="44"/>
      <c r="F244" s="44"/>
      <c r="G244" s="44"/>
      <c r="H244" s="44"/>
      <c r="I244" s="45"/>
      <c r="J244" s="44"/>
      <c r="K244" s="44"/>
      <c r="L244" s="44"/>
      <c r="M244" s="44"/>
      <c r="N244" s="44"/>
      <c r="O244" s="44"/>
      <c r="P244" s="44"/>
      <c r="Q244" s="44"/>
      <c r="R244" s="44"/>
      <c r="S244" s="44"/>
      <c r="T244" s="44"/>
      <c r="U244" s="44"/>
      <c r="V244" s="44"/>
      <c r="W244" s="44"/>
      <c r="X244" s="44"/>
      <c r="Y244" s="44"/>
      <c r="Z244" s="44"/>
    </row>
    <row r="245" spans="1:26" ht="15.75" customHeight="1" x14ac:dyDescent="0.25">
      <c r="A245" s="44"/>
      <c r="B245" s="44"/>
      <c r="C245" s="44"/>
      <c r="D245" s="44"/>
      <c r="E245" s="44"/>
      <c r="F245" s="44"/>
      <c r="G245" s="44"/>
      <c r="H245" s="44"/>
      <c r="I245" s="45"/>
      <c r="J245" s="44"/>
      <c r="K245" s="44"/>
      <c r="L245" s="44"/>
      <c r="M245" s="44"/>
      <c r="N245" s="44"/>
      <c r="O245" s="44"/>
      <c r="P245" s="44"/>
      <c r="Q245" s="44"/>
      <c r="R245" s="44"/>
      <c r="S245" s="44"/>
      <c r="T245" s="44"/>
      <c r="U245" s="44"/>
      <c r="V245" s="44"/>
      <c r="W245" s="44"/>
      <c r="X245" s="44"/>
      <c r="Y245" s="44"/>
      <c r="Z245" s="44"/>
    </row>
    <row r="246" spans="1:26" ht="15.75" customHeight="1" x14ac:dyDescent="0.25">
      <c r="A246" s="44"/>
      <c r="B246" s="44"/>
      <c r="C246" s="44"/>
      <c r="D246" s="44"/>
      <c r="E246" s="44"/>
      <c r="F246" s="44"/>
      <c r="G246" s="44"/>
      <c r="H246" s="44"/>
      <c r="I246" s="45"/>
      <c r="J246" s="44"/>
      <c r="K246" s="44"/>
      <c r="L246" s="44"/>
      <c r="M246" s="44"/>
      <c r="N246" s="44"/>
      <c r="O246" s="44"/>
      <c r="P246" s="44"/>
      <c r="Q246" s="44"/>
      <c r="R246" s="44"/>
      <c r="S246" s="44"/>
      <c r="T246" s="44"/>
      <c r="U246" s="44"/>
      <c r="V246" s="44"/>
      <c r="W246" s="44"/>
      <c r="X246" s="44"/>
      <c r="Y246" s="44"/>
      <c r="Z246" s="44"/>
    </row>
    <row r="247" spans="1:26" ht="15.75" customHeight="1" x14ac:dyDescent="0.25">
      <c r="A247" s="44"/>
      <c r="B247" s="44"/>
      <c r="C247" s="44"/>
      <c r="D247" s="44"/>
      <c r="E247" s="44"/>
      <c r="F247" s="44"/>
      <c r="G247" s="44"/>
      <c r="H247" s="44"/>
      <c r="I247" s="45"/>
      <c r="J247" s="44"/>
      <c r="K247" s="44"/>
      <c r="L247" s="44"/>
      <c r="M247" s="44"/>
      <c r="N247" s="44"/>
      <c r="O247" s="44"/>
      <c r="P247" s="44"/>
      <c r="Q247" s="44"/>
      <c r="R247" s="44"/>
      <c r="S247" s="44"/>
      <c r="T247" s="44"/>
      <c r="U247" s="44"/>
      <c r="V247" s="44"/>
      <c r="W247" s="44"/>
      <c r="X247" s="44"/>
      <c r="Y247" s="44"/>
      <c r="Z247" s="44"/>
    </row>
    <row r="248" spans="1:26" ht="15.75" customHeight="1" x14ac:dyDescent="0.25">
      <c r="A248" s="44"/>
      <c r="B248" s="44"/>
      <c r="C248" s="44"/>
      <c r="D248" s="44"/>
      <c r="E248" s="44"/>
      <c r="F248" s="44"/>
      <c r="G248" s="44"/>
      <c r="H248" s="44"/>
      <c r="I248" s="45"/>
      <c r="J248" s="44"/>
      <c r="K248" s="44"/>
      <c r="L248" s="44"/>
      <c r="M248" s="44"/>
      <c r="N248" s="44"/>
      <c r="O248" s="44"/>
      <c r="P248" s="44"/>
      <c r="Q248" s="44"/>
      <c r="R248" s="44"/>
      <c r="S248" s="44"/>
      <c r="T248" s="44"/>
      <c r="U248" s="44"/>
      <c r="V248" s="44"/>
      <c r="W248" s="44"/>
      <c r="X248" s="44"/>
      <c r="Y248" s="44"/>
      <c r="Z248" s="44"/>
    </row>
    <row r="249" spans="1:26" ht="15.75" customHeight="1" x14ac:dyDescent="0.25">
      <c r="A249" s="44"/>
      <c r="B249" s="44"/>
      <c r="C249" s="44"/>
      <c r="D249" s="44"/>
      <c r="E249" s="44"/>
      <c r="F249" s="44"/>
      <c r="G249" s="44"/>
      <c r="H249" s="44"/>
      <c r="I249" s="45"/>
      <c r="J249" s="44"/>
      <c r="K249" s="44"/>
      <c r="L249" s="44"/>
      <c r="M249" s="44"/>
      <c r="N249" s="44"/>
      <c r="O249" s="44"/>
      <c r="P249" s="44"/>
      <c r="Q249" s="44"/>
      <c r="R249" s="44"/>
      <c r="S249" s="44"/>
      <c r="T249" s="44"/>
      <c r="U249" s="44"/>
      <c r="V249" s="44"/>
      <c r="W249" s="44"/>
      <c r="X249" s="44"/>
      <c r="Y249" s="44"/>
      <c r="Z249" s="44"/>
    </row>
    <row r="250" spans="1:26" ht="15.75" customHeight="1" x14ac:dyDescent="0.25">
      <c r="A250" s="44"/>
      <c r="B250" s="44"/>
      <c r="C250" s="44"/>
      <c r="D250" s="44"/>
      <c r="E250" s="44"/>
      <c r="F250" s="44"/>
      <c r="G250" s="44"/>
      <c r="H250" s="44"/>
      <c r="I250" s="45"/>
      <c r="J250" s="44"/>
      <c r="K250" s="44"/>
      <c r="L250" s="44"/>
      <c r="M250" s="44"/>
      <c r="N250" s="44"/>
      <c r="O250" s="44"/>
      <c r="P250" s="44"/>
      <c r="Q250" s="44"/>
      <c r="R250" s="44"/>
      <c r="S250" s="44"/>
      <c r="T250" s="44"/>
      <c r="U250" s="44"/>
      <c r="V250" s="44"/>
      <c r="W250" s="44"/>
      <c r="X250" s="44"/>
      <c r="Y250" s="44"/>
      <c r="Z250" s="44"/>
    </row>
    <row r="251" spans="1:26" ht="15.75" customHeight="1" x14ac:dyDescent="0.25">
      <c r="A251" s="44"/>
      <c r="B251" s="44"/>
      <c r="C251" s="44"/>
      <c r="D251" s="44"/>
      <c r="E251" s="44"/>
      <c r="F251" s="44"/>
      <c r="G251" s="44"/>
      <c r="H251" s="44"/>
      <c r="I251" s="45"/>
      <c r="J251" s="44"/>
      <c r="K251" s="44"/>
      <c r="L251" s="44"/>
      <c r="M251" s="44"/>
      <c r="N251" s="44"/>
      <c r="O251" s="44"/>
      <c r="P251" s="44"/>
      <c r="Q251" s="44"/>
      <c r="R251" s="44"/>
      <c r="S251" s="44"/>
      <c r="T251" s="44"/>
      <c r="U251" s="44"/>
      <c r="V251" s="44"/>
      <c r="W251" s="44"/>
      <c r="X251" s="44"/>
      <c r="Y251" s="44"/>
      <c r="Z251" s="44"/>
    </row>
    <row r="252" spans="1:26" ht="15.75" customHeight="1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5.75" customHeight="1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5.75" customHeight="1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5.75" customHeight="1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5.75" customHeight="1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5.75" customHeight="1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5.75" customHeight="1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5.75" customHeight="1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5.75" customHeight="1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5.75" customHeight="1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5.75" customHeight="1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5.75" customHeight="1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5.75" customHeight="1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5.75" customHeight="1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5.75" customHeight="1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5.75" customHeight="1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5.75" customHeight="1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5.75" customHeight="1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5.75" customHeight="1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5.75" customHeight="1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5.75" customHeight="1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5.75" customHeight="1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5.75" customHeight="1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5.75" customHeight="1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5.75" customHeight="1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5.75" customHeight="1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5.75" customHeight="1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5.75" customHeight="1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5.75" customHeight="1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5.75" customHeight="1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5.75" customHeight="1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5.75" customHeight="1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5.75" customHeight="1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5.75" customHeight="1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5.75" customHeight="1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5.75" customHeight="1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5.75" customHeight="1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5.75" customHeight="1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5.75" customHeight="1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5.75" customHeight="1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5.75" customHeight="1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5.75" customHeight="1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5.75" customHeight="1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5.75" customHeight="1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5.75" customHeight="1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5.75" customHeight="1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5.75" customHeight="1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5.75" customHeight="1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5.75" customHeight="1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5.75" customHeight="1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5.75" customHeight="1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5.75" customHeight="1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5.75" customHeight="1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5.75" customHeight="1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5.75" customHeight="1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5.75" customHeight="1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5.75" customHeight="1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5.75" customHeight="1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5.75" customHeight="1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5.75" customHeight="1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5.75" customHeight="1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5.75" customHeight="1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5.75" customHeight="1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5.75" customHeight="1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5.75" customHeight="1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5.75" customHeight="1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5.75" customHeight="1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5.75" customHeight="1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5.75" customHeight="1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5.75" customHeight="1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5.75" customHeight="1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5.75" customHeight="1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5.75" customHeight="1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5.75" customHeight="1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5.75" customHeight="1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5.75" customHeight="1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5.75" customHeight="1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5.75" customHeight="1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5.75" customHeight="1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5.75" customHeight="1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5.75" customHeight="1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5.75" customHeight="1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5.75" customHeight="1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5.75" customHeight="1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5.75" customHeight="1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5.75" customHeight="1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5.75" customHeight="1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5.75" customHeight="1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5.75" customHeight="1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5.75" customHeight="1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5.75" customHeight="1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5.75" customHeight="1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5.75" customHeight="1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5.75" customHeight="1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5.75" customHeight="1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5.75" customHeight="1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5.75" customHeight="1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5.75" customHeight="1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5.75" customHeight="1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5.75" customHeight="1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5.75" customHeight="1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5.75" customHeight="1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5.75" customHeight="1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5.75" customHeight="1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5.75" customHeight="1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5.75" customHeight="1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5.75" customHeight="1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5.75" customHeight="1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5.75" customHeight="1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5.75" customHeight="1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5.75" customHeight="1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5.75" customHeight="1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5.75" customHeight="1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5.75" customHeight="1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5.75" customHeight="1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5.75" customHeight="1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5.75" customHeight="1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5.75" customHeight="1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5.75" customHeight="1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5.75" customHeight="1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5.75" customHeight="1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5.75" customHeight="1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5.75" customHeight="1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5.75" customHeight="1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5.75" customHeight="1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5.75" customHeight="1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5.75" customHeight="1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5.75" customHeight="1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5.75" customHeight="1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5.75" customHeight="1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5.75" customHeight="1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5.75" customHeight="1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5.75" customHeight="1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5.75" customHeight="1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5.75" customHeight="1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5.75" customHeight="1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5.75" customHeight="1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5.75" customHeight="1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5.75" customHeight="1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5.75" customHeight="1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5.75" customHeight="1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5.75" customHeight="1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5.75" customHeight="1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5.75" customHeight="1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5.75" customHeight="1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5.75" customHeight="1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5.75" customHeight="1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5.75" customHeight="1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5.75" customHeight="1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5.75" customHeight="1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5.75" customHeight="1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5.75" customHeight="1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5.75" customHeight="1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5.75" customHeight="1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5.75" customHeight="1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5.75" customHeight="1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5.75" customHeight="1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5.75" customHeight="1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5.75" customHeight="1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5.75" customHeight="1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5.75" customHeight="1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5.75" customHeight="1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5.75" customHeight="1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5.75" customHeight="1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5.75" customHeight="1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5.75" customHeight="1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5.75" customHeight="1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5.75" customHeight="1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5.75" customHeight="1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5.75" customHeight="1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5.75" customHeight="1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5.75" customHeight="1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5.75" customHeight="1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5.75" customHeight="1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5.75" customHeight="1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5.75" customHeight="1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5.75" customHeight="1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5.75" customHeight="1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5.75" customHeight="1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5.75" customHeight="1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5.75" customHeight="1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5.75" customHeight="1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5.75" customHeight="1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5.75" customHeight="1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5.75" customHeight="1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5.75" customHeight="1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5.75" customHeight="1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5.75" customHeight="1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5.75" customHeight="1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5.75" customHeight="1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5.75" customHeight="1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5.75" customHeight="1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5.75" customHeight="1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5.75" customHeight="1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5.75" customHeight="1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5.75" customHeight="1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5.75" customHeight="1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5.75" customHeight="1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5.75" customHeight="1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5.75" customHeight="1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5.75" customHeight="1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5.75" customHeight="1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5.75" customHeight="1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5.75" customHeight="1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5.75" customHeight="1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5.75" customHeight="1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5.75" customHeight="1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5.75" customHeight="1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5.75" customHeight="1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5.75" customHeight="1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5.75" customHeight="1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5.75" customHeight="1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5.75" customHeight="1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5.75" customHeight="1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5.75" customHeight="1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5.75" customHeight="1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5.75" customHeight="1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5.75" customHeight="1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5.75" customHeight="1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5.75" customHeight="1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5.75" customHeight="1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5.75" customHeight="1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5.75" customHeight="1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5.75" customHeight="1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5.75" customHeight="1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5.75" customHeight="1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5.75" customHeight="1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5.75" customHeight="1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5.75" customHeight="1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5.75" customHeight="1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5.75" customHeight="1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5.75" customHeight="1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5.75" customHeight="1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5.75" customHeight="1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5.75" customHeight="1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5.75" customHeight="1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5.75" customHeight="1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5.75" customHeight="1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5.75" customHeight="1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5.75" customHeight="1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5.75" customHeight="1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5.75" customHeight="1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5.75" customHeight="1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5.75" customHeight="1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5.75" customHeight="1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5.75" customHeight="1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5.75" customHeight="1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5.75" customHeight="1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5.75" customHeight="1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5.75" customHeight="1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5.75" customHeight="1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5.75" customHeight="1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5.75" customHeight="1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5.75" customHeight="1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5.75" customHeight="1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5.75" customHeight="1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5.75" customHeight="1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5.75" customHeight="1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5.75" customHeight="1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5.75" customHeight="1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5.75" customHeight="1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5.75" customHeight="1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5.75" customHeight="1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5.75" customHeight="1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5.75" customHeight="1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5.75" customHeight="1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5.75" customHeight="1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5.75" customHeight="1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5.75" customHeight="1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5.75" customHeight="1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5.75" customHeight="1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5.75" customHeight="1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5.75" customHeight="1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5.75" customHeight="1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5.75" customHeight="1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5.75" customHeight="1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5.75" customHeight="1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5.75" customHeight="1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5.75" customHeight="1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5.75" customHeight="1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5.75" customHeight="1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5.75" customHeight="1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5.75" customHeight="1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5.75" customHeight="1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5.75" customHeight="1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5.75" customHeight="1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5.75" customHeight="1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5.75" customHeight="1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5.75" customHeight="1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5.75" customHeight="1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5.75" customHeight="1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5.75" customHeight="1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5.75" customHeight="1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5.75" customHeight="1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5.75" customHeight="1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5.75" customHeight="1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5.75" customHeight="1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5.75" customHeight="1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5.75" customHeight="1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5.75" customHeight="1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5.75" customHeight="1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5.75" customHeight="1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5.75" customHeight="1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5.75" customHeight="1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5.75" customHeight="1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5.75" customHeight="1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5.75" customHeight="1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5.75" customHeight="1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5.75" customHeight="1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5.75" customHeight="1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5.75" customHeight="1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5.75" customHeight="1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5.75" customHeight="1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5.75" customHeight="1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5.75" customHeight="1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5.75" customHeight="1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5.75" customHeight="1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5.75" customHeight="1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5.75" customHeight="1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5.75" customHeight="1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5.75" customHeight="1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5.75" customHeight="1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5.75" customHeight="1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5.75" customHeight="1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5.75" customHeight="1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5.75" customHeight="1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5.75" customHeight="1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5.75" customHeight="1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5.75" customHeight="1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5.75" customHeight="1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5.75" customHeight="1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5.75" customHeight="1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5.75" customHeight="1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5.75" customHeight="1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5.75" customHeight="1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5.75" customHeight="1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5.75" customHeight="1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5.75" customHeight="1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5.75" customHeight="1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5.75" customHeight="1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5.75" customHeight="1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5.75" customHeight="1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5.75" customHeight="1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5.75" customHeight="1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5.75" customHeight="1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5.75" customHeight="1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5.75" customHeight="1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5.75" customHeight="1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5.75" customHeight="1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5.75" customHeight="1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5.75" customHeight="1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5.75" customHeight="1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5.75" customHeight="1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5.75" customHeight="1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5.75" customHeight="1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5.75" customHeight="1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5.75" customHeight="1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5.75" customHeight="1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5.75" customHeight="1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5.75" customHeight="1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5.75" customHeight="1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5.75" customHeight="1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5.75" customHeight="1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5.75" customHeight="1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5.75" customHeight="1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5.75" customHeight="1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5.75" customHeight="1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5.75" customHeight="1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5.75" customHeight="1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5.75" customHeight="1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5.75" customHeight="1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5.75" customHeight="1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5.75" customHeight="1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5.75" customHeight="1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5.75" customHeight="1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5.75" customHeight="1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5.75" customHeight="1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5.75" customHeight="1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5.75" customHeight="1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5.75" customHeight="1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5.75" customHeight="1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5.75" customHeight="1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5.75" customHeight="1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5.75" customHeight="1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5.75" customHeight="1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5.75" customHeight="1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5.75" customHeight="1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5.75" customHeight="1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5.75" customHeight="1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5.75" customHeight="1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5.75" customHeight="1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5.75" customHeight="1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5.75" customHeight="1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5.75" customHeight="1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5.75" customHeight="1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5.75" customHeight="1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5.75" customHeight="1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5.75" customHeight="1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5.75" customHeight="1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5.75" customHeight="1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5.75" customHeight="1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5.75" customHeight="1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5.75" customHeight="1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5.75" customHeight="1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5.75" customHeight="1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5.75" customHeight="1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5.75" customHeight="1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5.75" customHeight="1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5.75" customHeight="1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5.75" customHeight="1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5.75" customHeight="1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5.75" customHeight="1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5.75" customHeight="1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5.75" customHeight="1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5.75" customHeight="1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5.75" customHeight="1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5.75" customHeight="1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5.75" customHeight="1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5.75" customHeight="1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5.75" customHeight="1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5.75" customHeight="1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5.75" customHeight="1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5.75" customHeight="1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5.75" customHeight="1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5.75" customHeight="1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5.75" customHeight="1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5.75" customHeight="1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5.75" customHeight="1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5.75" customHeight="1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5.75" customHeight="1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5.75" customHeight="1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5.75" customHeight="1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5.75" customHeight="1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5.75" customHeight="1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5.75" customHeight="1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5.75" customHeight="1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5.75" customHeight="1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5.75" customHeight="1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5.75" customHeight="1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5.75" customHeight="1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5.75" customHeight="1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5.75" customHeight="1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5.75" customHeight="1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5.75" customHeight="1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5.75" customHeight="1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5.75" customHeight="1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5.75" customHeight="1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5.75" customHeight="1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5.75" customHeight="1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5.75" customHeight="1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5.75" customHeight="1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5.75" customHeight="1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5.75" customHeight="1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5.75" customHeight="1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5.75" customHeight="1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5.75" customHeight="1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5.75" customHeight="1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5.75" customHeight="1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5.75" customHeight="1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5.75" customHeight="1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5.75" customHeight="1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5.75" customHeight="1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5.75" customHeight="1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5.75" customHeight="1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5.75" customHeight="1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5.75" customHeight="1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5.75" customHeight="1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5.75" customHeight="1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5.75" customHeight="1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5.75" customHeight="1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5.75" customHeight="1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5.75" customHeight="1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5.75" customHeight="1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5.75" customHeight="1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5.75" customHeight="1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5.75" customHeight="1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5.75" customHeight="1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5.75" customHeight="1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5.75" customHeight="1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5.75" customHeight="1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5.75" customHeight="1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5.75" customHeight="1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5.75" customHeight="1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5.75" customHeight="1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5.75" customHeight="1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5.75" customHeight="1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5.75" customHeight="1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5.75" customHeight="1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5.75" customHeight="1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5.75" customHeight="1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5.75" customHeight="1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5.75" customHeight="1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5.75" customHeight="1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5.75" customHeight="1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5.75" customHeight="1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5.75" customHeight="1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5.75" customHeight="1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5.75" customHeight="1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5.75" customHeight="1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5.75" customHeight="1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5.75" customHeight="1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5.75" customHeight="1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5.75" customHeight="1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5.75" customHeight="1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5.75" customHeight="1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5.75" customHeight="1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5.75" customHeight="1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5.75" customHeight="1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5.75" customHeight="1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5.75" customHeight="1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5.75" customHeight="1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5.75" customHeight="1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5.75" customHeight="1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5.75" customHeight="1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5.75" customHeight="1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5.75" customHeight="1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5.75" customHeight="1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5.75" customHeight="1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5.75" customHeight="1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5.75" customHeight="1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5.75" customHeight="1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5.75" customHeight="1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5.75" customHeight="1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5.75" customHeight="1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5.75" customHeight="1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5.75" customHeight="1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5.75" customHeight="1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5.75" customHeight="1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5.75" customHeight="1" x14ac:dyDescent="0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5.75" customHeight="1" x14ac:dyDescent="0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5.75" customHeight="1" x14ac:dyDescent="0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5.75" customHeight="1" x14ac:dyDescent="0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5.75" customHeight="1" x14ac:dyDescent="0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5.75" customHeight="1" x14ac:dyDescent="0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5.75" customHeight="1" x14ac:dyDescent="0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5.75" customHeight="1" x14ac:dyDescent="0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5.75" customHeight="1" x14ac:dyDescent="0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5.75" customHeight="1" x14ac:dyDescent="0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5.75" customHeight="1" x14ac:dyDescent="0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5.75" customHeight="1" x14ac:dyDescent="0.2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5.75" customHeight="1" x14ac:dyDescent="0.2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5.75" customHeight="1" x14ac:dyDescent="0.2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5.75" customHeight="1" x14ac:dyDescent="0.2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5.75" customHeight="1" x14ac:dyDescent="0.2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5.75" customHeight="1" x14ac:dyDescent="0.2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5.75" customHeight="1" x14ac:dyDescent="0.2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5.75" customHeight="1" x14ac:dyDescent="0.2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5.75" customHeight="1" x14ac:dyDescent="0.2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5.75" customHeight="1" x14ac:dyDescent="0.2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5.75" customHeight="1" x14ac:dyDescent="0.2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5.75" customHeight="1" x14ac:dyDescent="0.2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5.75" customHeight="1" x14ac:dyDescent="0.2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5.75" customHeight="1" x14ac:dyDescent="0.2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5.75" customHeight="1" x14ac:dyDescent="0.2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5.75" customHeight="1" x14ac:dyDescent="0.2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5.75" customHeight="1" x14ac:dyDescent="0.2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5.75" customHeight="1" x14ac:dyDescent="0.2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5.75" customHeight="1" x14ac:dyDescent="0.2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5.75" customHeight="1" x14ac:dyDescent="0.2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5.75" customHeight="1" x14ac:dyDescent="0.2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5.75" customHeight="1" x14ac:dyDescent="0.2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5.75" customHeight="1" x14ac:dyDescent="0.2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5.75" customHeight="1" x14ac:dyDescent="0.2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5.75" customHeight="1" x14ac:dyDescent="0.2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5.75" customHeight="1" x14ac:dyDescent="0.2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5.75" customHeight="1" x14ac:dyDescent="0.2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5.75" customHeight="1" x14ac:dyDescent="0.2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5.75" customHeight="1" x14ac:dyDescent="0.2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5.75" customHeight="1" x14ac:dyDescent="0.2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5.75" customHeight="1" x14ac:dyDescent="0.2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5.75" customHeight="1" x14ac:dyDescent="0.2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5.75" customHeight="1" x14ac:dyDescent="0.2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5.75" customHeight="1" x14ac:dyDescent="0.2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5.75" customHeight="1" x14ac:dyDescent="0.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5.75" customHeight="1" x14ac:dyDescent="0.2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5.75" customHeight="1" x14ac:dyDescent="0.2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5.75" customHeight="1" x14ac:dyDescent="0.2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5.75" customHeight="1" x14ac:dyDescent="0.2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5.75" customHeight="1" x14ac:dyDescent="0.2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5.75" customHeight="1" x14ac:dyDescent="0.2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5.75" customHeight="1" x14ac:dyDescent="0.2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5.75" customHeight="1" x14ac:dyDescent="0.2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5.75" customHeight="1" x14ac:dyDescent="0.2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5.75" customHeight="1" x14ac:dyDescent="0.2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5.75" customHeight="1" x14ac:dyDescent="0.2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5.75" customHeight="1" x14ac:dyDescent="0.2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5.75" customHeight="1" x14ac:dyDescent="0.2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5.75" customHeight="1" x14ac:dyDescent="0.2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5.75" customHeight="1" x14ac:dyDescent="0.2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5.75" customHeight="1" x14ac:dyDescent="0.2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5.75" customHeight="1" x14ac:dyDescent="0.2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5.75" customHeight="1" x14ac:dyDescent="0.2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5.75" customHeight="1" x14ac:dyDescent="0.2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5.75" customHeight="1" x14ac:dyDescent="0.2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5.75" customHeight="1" x14ac:dyDescent="0.2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5.75" customHeight="1" x14ac:dyDescent="0.2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5.75" customHeight="1" x14ac:dyDescent="0.2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5.75" customHeight="1" x14ac:dyDescent="0.2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5.75" customHeight="1" x14ac:dyDescent="0.2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5.75" customHeight="1" x14ac:dyDescent="0.2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5.75" customHeight="1" x14ac:dyDescent="0.2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5.75" customHeight="1" x14ac:dyDescent="0.2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5.75" customHeight="1" x14ac:dyDescent="0.2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5.75" customHeight="1" x14ac:dyDescent="0.2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5.75" customHeight="1" x14ac:dyDescent="0.2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5.75" customHeight="1" x14ac:dyDescent="0.2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5.75" customHeight="1" x14ac:dyDescent="0.2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5.75" customHeight="1" x14ac:dyDescent="0.2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5.75" customHeight="1" x14ac:dyDescent="0.2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5.75" customHeight="1" x14ac:dyDescent="0.2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5.75" customHeight="1" x14ac:dyDescent="0.2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5.75" customHeight="1" x14ac:dyDescent="0.2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5.75" customHeight="1" x14ac:dyDescent="0.2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5.75" customHeight="1" x14ac:dyDescent="0.2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5.75" customHeight="1" x14ac:dyDescent="0.2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5.75" customHeight="1" x14ac:dyDescent="0.2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5.75" customHeight="1" x14ac:dyDescent="0.2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5.75" customHeight="1" x14ac:dyDescent="0.2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5.75" customHeight="1" x14ac:dyDescent="0.2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5.75" customHeight="1" x14ac:dyDescent="0.2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5.75" customHeight="1" x14ac:dyDescent="0.2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5.75" customHeight="1" x14ac:dyDescent="0.2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5.75" customHeight="1" x14ac:dyDescent="0.2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5.75" customHeight="1" x14ac:dyDescent="0.2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5.75" customHeight="1" x14ac:dyDescent="0.2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5.75" customHeight="1" x14ac:dyDescent="0.2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5.75" customHeight="1" x14ac:dyDescent="0.2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5.75" customHeight="1" x14ac:dyDescent="0.2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5.75" customHeight="1" x14ac:dyDescent="0.2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5.75" customHeight="1" x14ac:dyDescent="0.2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5.75" customHeight="1" x14ac:dyDescent="0.2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5.75" customHeight="1" x14ac:dyDescent="0.2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5.75" customHeight="1" x14ac:dyDescent="0.2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5.75" customHeight="1" x14ac:dyDescent="0.2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5.75" customHeight="1" x14ac:dyDescent="0.2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5.75" customHeight="1" x14ac:dyDescent="0.2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5.75" customHeight="1" x14ac:dyDescent="0.2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5.75" customHeight="1" x14ac:dyDescent="0.2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5.75" customHeight="1" x14ac:dyDescent="0.2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5.75" customHeight="1" x14ac:dyDescent="0.2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5.75" customHeight="1" x14ac:dyDescent="0.2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5.75" customHeight="1" x14ac:dyDescent="0.2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5.75" customHeight="1" x14ac:dyDescent="0.2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5.75" customHeight="1" x14ac:dyDescent="0.2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5.75" customHeight="1" x14ac:dyDescent="0.2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5.75" customHeight="1" x14ac:dyDescent="0.2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5.75" customHeight="1" x14ac:dyDescent="0.2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5.75" customHeight="1" x14ac:dyDescent="0.2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5.75" customHeight="1" x14ac:dyDescent="0.2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5.75" customHeight="1" x14ac:dyDescent="0.2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5.75" customHeight="1" x14ac:dyDescent="0.2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5.75" customHeight="1" x14ac:dyDescent="0.2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5.75" customHeight="1" x14ac:dyDescent="0.2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5.75" customHeight="1" x14ac:dyDescent="0.2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5.75" customHeight="1" x14ac:dyDescent="0.2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5.75" customHeight="1" x14ac:dyDescent="0.2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5.75" customHeight="1" x14ac:dyDescent="0.2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5.75" customHeight="1" x14ac:dyDescent="0.2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5.75" customHeight="1" x14ac:dyDescent="0.2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5.75" customHeight="1" x14ac:dyDescent="0.2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5.75" customHeight="1" x14ac:dyDescent="0.2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5.75" customHeight="1" x14ac:dyDescent="0.2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5.75" customHeight="1" x14ac:dyDescent="0.2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5.75" customHeight="1" x14ac:dyDescent="0.2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5.75" customHeight="1" x14ac:dyDescent="0.2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5.75" customHeight="1" x14ac:dyDescent="0.2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5.75" customHeight="1" x14ac:dyDescent="0.2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5.75" customHeight="1" x14ac:dyDescent="0.2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5.75" customHeight="1" x14ac:dyDescent="0.2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5.75" customHeight="1" x14ac:dyDescent="0.2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5.75" customHeight="1" x14ac:dyDescent="0.2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5.75" customHeight="1" x14ac:dyDescent="0.2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5.75" customHeight="1" x14ac:dyDescent="0.2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5.75" customHeight="1" x14ac:dyDescent="0.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5.75" customHeight="1" x14ac:dyDescent="0.2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5.75" customHeight="1" x14ac:dyDescent="0.2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5.75" customHeight="1" x14ac:dyDescent="0.2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5.75" customHeight="1" x14ac:dyDescent="0.2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5.75" customHeight="1" x14ac:dyDescent="0.2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5.75" customHeight="1" x14ac:dyDescent="0.2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5.75" customHeight="1" x14ac:dyDescent="0.2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5.75" customHeight="1" x14ac:dyDescent="0.2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5.75" customHeight="1" x14ac:dyDescent="0.2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5.75" customHeight="1" x14ac:dyDescent="0.2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5.75" customHeight="1" x14ac:dyDescent="0.2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5.75" customHeight="1" x14ac:dyDescent="0.2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5.75" customHeight="1" x14ac:dyDescent="0.2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5.75" customHeight="1" x14ac:dyDescent="0.2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5.75" customHeight="1" x14ac:dyDescent="0.2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5.75" customHeight="1" x14ac:dyDescent="0.2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5.75" customHeight="1" x14ac:dyDescent="0.2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5.75" customHeight="1" x14ac:dyDescent="0.2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5.75" customHeight="1" x14ac:dyDescent="0.2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5.75" customHeight="1" x14ac:dyDescent="0.2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5.75" customHeight="1" x14ac:dyDescent="0.2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5.75" customHeight="1" x14ac:dyDescent="0.2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5.75" customHeight="1" x14ac:dyDescent="0.2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5.75" customHeight="1" x14ac:dyDescent="0.2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5.75" customHeight="1" x14ac:dyDescent="0.2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5.75" customHeight="1" x14ac:dyDescent="0.2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5.75" customHeight="1" x14ac:dyDescent="0.2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5.75" customHeight="1" x14ac:dyDescent="0.2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5.75" customHeight="1" x14ac:dyDescent="0.2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5.75" customHeight="1" x14ac:dyDescent="0.2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5.75" customHeight="1" x14ac:dyDescent="0.2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5.75" customHeight="1" x14ac:dyDescent="0.2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5.75" customHeight="1" x14ac:dyDescent="0.2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5.75" customHeight="1" x14ac:dyDescent="0.2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5.75" customHeight="1" x14ac:dyDescent="0.2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5.75" customHeight="1" x14ac:dyDescent="0.2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5.75" customHeight="1" x14ac:dyDescent="0.2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5.75" customHeight="1" x14ac:dyDescent="0.2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5.75" customHeight="1" x14ac:dyDescent="0.2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5.75" customHeight="1" x14ac:dyDescent="0.2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5.75" customHeight="1" x14ac:dyDescent="0.2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5.75" customHeight="1" x14ac:dyDescent="0.2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5.75" customHeight="1" x14ac:dyDescent="0.2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5.75" customHeight="1" x14ac:dyDescent="0.2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5.75" customHeight="1" x14ac:dyDescent="0.2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5.75" customHeight="1" x14ac:dyDescent="0.2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5.75" customHeight="1" x14ac:dyDescent="0.2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5.75" customHeight="1" x14ac:dyDescent="0.2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5.75" customHeight="1" x14ac:dyDescent="0.2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5.75" customHeight="1" x14ac:dyDescent="0.2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5.75" customHeight="1" x14ac:dyDescent="0.2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5.75" customHeight="1" x14ac:dyDescent="0.2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5.75" customHeight="1" x14ac:dyDescent="0.2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5.75" customHeight="1" x14ac:dyDescent="0.2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5.75" customHeight="1" x14ac:dyDescent="0.2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5.75" customHeight="1" x14ac:dyDescent="0.2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5.75" customHeight="1" x14ac:dyDescent="0.2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5.75" customHeight="1" x14ac:dyDescent="0.2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5.75" customHeight="1" x14ac:dyDescent="0.2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5.75" customHeight="1" x14ac:dyDescent="0.2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5.75" customHeight="1" x14ac:dyDescent="0.2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5.75" customHeight="1" x14ac:dyDescent="0.2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5.75" customHeight="1" x14ac:dyDescent="0.2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5.75" customHeight="1" x14ac:dyDescent="0.2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5.75" customHeight="1" x14ac:dyDescent="0.2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5.75" customHeight="1" x14ac:dyDescent="0.2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5.75" customHeight="1" x14ac:dyDescent="0.2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5.75" customHeight="1" x14ac:dyDescent="0.2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5.75" customHeight="1" x14ac:dyDescent="0.2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5.75" customHeight="1" x14ac:dyDescent="0.2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</sheetData>
  <mergeCells count="7">
    <mergeCell ref="B2:F6"/>
    <mergeCell ref="B39:C39"/>
    <mergeCell ref="B49:F49"/>
    <mergeCell ref="B50:F50"/>
    <mergeCell ref="B51:F51"/>
    <mergeCell ref="B12:C13"/>
    <mergeCell ref="B42:F43"/>
  </mergeCells>
  <printOptions horizontalCentered="1"/>
  <pageMargins left="0.7" right="0.7" top="0.75" bottom="0.75" header="0.3" footer="0.3"/>
  <pageSetup paperSize="9" scale="48" fitToHeight="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BFBFBF"/>
    <outlinePr summaryBelow="0"/>
  </sheetPr>
  <dimension ref="A1:AL535"/>
  <sheetViews>
    <sheetView tabSelected="1" topLeftCell="C13" zoomScale="115" zoomScaleNormal="115" workbookViewId="0">
      <selection activeCell="E27" sqref="E27"/>
    </sheetView>
  </sheetViews>
  <sheetFormatPr defaultColWidth="12.59765625" defaultRowHeight="15" customHeight="1" x14ac:dyDescent="0.25"/>
  <cols>
    <col min="1" max="1" width="7.296875" style="212" customWidth="1"/>
    <col min="2" max="2" width="10.59765625" style="212" customWidth="1"/>
    <col min="3" max="3" width="15.296875" style="212" customWidth="1"/>
    <col min="4" max="4" width="15" style="212" customWidth="1"/>
    <col min="5" max="5" width="99.5" style="212" customWidth="1"/>
    <col min="6" max="6" width="8.5" style="212" customWidth="1"/>
    <col min="7" max="7" width="11.3984375" style="213" customWidth="1"/>
    <col min="8" max="8" width="17.3984375" style="212" customWidth="1"/>
    <col min="9" max="9" width="17.3984375" style="212" hidden="1" customWidth="1"/>
    <col min="10" max="10" width="14.69921875" style="212" customWidth="1"/>
    <col min="11" max="11" width="14.69921875" style="212" hidden="1" customWidth="1"/>
    <col min="12" max="15" width="14.69921875" style="212" customWidth="1"/>
    <col min="16" max="16" width="16.19921875" style="212" customWidth="1"/>
    <col min="17" max="17" width="14.5" style="212" customWidth="1"/>
    <col min="18" max="18" width="16" style="212" customWidth="1"/>
    <col min="19" max="19" width="14.59765625" style="212" customWidth="1"/>
    <col min="20" max="21" width="15.09765625" style="212" customWidth="1"/>
    <col min="22" max="22" width="7.59765625" style="212" customWidth="1"/>
    <col min="23" max="23" width="17.8984375" style="212" customWidth="1"/>
    <col min="24" max="36" width="7.59765625" style="212" customWidth="1"/>
    <col min="37" max="16384" width="12.59765625" style="212"/>
  </cols>
  <sheetData>
    <row r="1" spans="1:38" ht="18.75" customHeight="1" x14ac:dyDescent="0.25">
      <c r="A1" s="94"/>
      <c r="B1" s="95"/>
      <c r="C1" s="96"/>
      <c r="D1" s="97"/>
      <c r="E1" s="97"/>
      <c r="F1" s="98"/>
      <c r="G1" s="203"/>
      <c r="H1" s="98"/>
      <c r="I1" s="98"/>
      <c r="J1" s="100"/>
      <c r="K1" s="100"/>
      <c r="L1" s="100"/>
      <c r="M1" s="100"/>
      <c r="N1" s="48"/>
      <c r="O1" s="99"/>
      <c r="P1" s="4"/>
      <c r="Q1" s="4"/>
      <c r="R1" s="4"/>
      <c r="S1" s="4"/>
      <c r="T1" s="101"/>
      <c r="U1" s="48"/>
      <c r="V1" s="48"/>
      <c r="W1" s="48"/>
      <c r="X1" s="48"/>
      <c r="Y1" s="48"/>
      <c r="Z1" s="48"/>
      <c r="AA1" s="48"/>
      <c r="AB1" s="48"/>
      <c r="AC1" s="48"/>
      <c r="AD1" s="48"/>
      <c r="AE1" s="48"/>
      <c r="AF1" s="48"/>
      <c r="AG1" s="48"/>
      <c r="AH1" s="48"/>
      <c r="AI1" s="48"/>
      <c r="AJ1" s="48"/>
      <c r="AK1" s="44"/>
      <c r="AL1" s="44"/>
    </row>
    <row r="2" spans="1:38" ht="18.75" customHeight="1" x14ac:dyDescent="0.25">
      <c r="A2" s="94"/>
      <c r="B2" s="360" t="s">
        <v>26</v>
      </c>
      <c r="C2" s="361"/>
      <c r="D2" s="361"/>
      <c r="E2" s="361"/>
      <c r="F2" s="361"/>
      <c r="G2" s="361"/>
      <c r="H2" s="361"/>
      <c r="I2" s="362"/>
      <c r="J2" s="361"/>
      <c r="K2" s="362"/>
      <c r="L2" s="361"/>
      <c r="M2" s="361"/>
      <c r="N2" s="361"/>
      <c r="O2" s="361"/>
      <c r="P2" s="361"/>
      <c r="Q2" s="363"/>
      <c r="R2" s="99"/>
      <c r="S2" s="4"/>
      <c r="T2" s="4"/>
      <c r="U2" s="4"/>
      <c r="V2" s="4"/>
      <c r="W2" s="101"/>
      <c r="X2" s="48"/>
      <c r="Y2" s="48"/>
      <c r="Z2" s="48"/>
      <c r="AA2" s="48"/>
      <c r="AB2" s="48"/>
      <c r="AC2" s="48"/>
      <c r="AD2" s="48"/>
      <c r="AE2" s="48"/>
      <c r="AF2" s="48"/>
      <c r="AG2" s="48"/>
      <c r="AH2" s="48"/>
      <c r="AI2" s="48"/>
      <c r="AJ2" s="48"/>
      <c r="AK2" s="48"/>
      <c r="AL2" s="48"/>
    </row>
    <row r="3" spans="1:38" ht="18.75" customHeight="1" x14ac:dyDescent="0.25">
      <c r="A3" s="94"/>
      <c r="B3" s="364"/>
      <c r="C3" s="365"/>
      <c r="D3" s="365"/>
      <c r="E3" s="365"/>
      <c r="F3" s="365"/>
      <c r="G3" s="365"/>
      <c r="H3" s="365"/>
      <c r="I3" s="365"/>
      <c r="J3" s="365"/>
      <c r="K3" s="365"/>
      <c r="L3" s="365"/>
      <c r="M3" s="365"/>
      <c r="N3" s="365"/>
      <c r="O3" s="365"/>
      <c r="P3" s="365"/>
      <c r="Q3" s="366"/>
      <c r="R3" s="99"/>
      <c r="S3" s="4"/>
      <c r="T3" s="4"/>
      <c r="U3" s="4"/>
      <c r="V3" s="4"/>
      <c r="W3" s="101"/>
      <c r="X3" s="48"/>
      <c r="Y3" s="48"/>
      <c r="Z3" s="48"/>
      <c r="AA3" s="48"/>
      <c r="AB3" s="48"/>
      <c r="AC3" s="48"/>
      <c r="AD3" s="48"/>
      <c r="AE3" s="48"/>
      <c r="AF3" s="48"/>
      <c r="AG3" s="48"/>
      <c r="AH3" s="48"/>
      <c r="AI3" s="48"/>
      <c r="AJ3" s="48"/>
      <c r="AK3" s="48"/>
      <c r="AL3" s="48"/>
    </row>
    <row r="4" spans="1:38" ht="18.75" customHeight="1" x14ac:dyDescent="0.25">
      <c r="A4" s="94"/>
      <c r="B4" s="364"/>
      <c r="C4" s="365"/>
      <c r="D4" s="365"/>
      <c r="E4" s="365"/>
      <c r="F4" s="365"/>
      <c r="G4" s="365"/>
      <c r="H4" s="365"/>
      <c r="I4" s="365"/>
      <c r="J4" s="365"/>
      <c r="K4" s="365"/>
      <c r="L4" s="365"/>
      <c r="M4" s="365"/>
      <c r="N4" s="365"/>
      <c r="O4" s="365"/>
      <c r="P4" s="365"/>
      <c r="Q4" s="366"/>
      <c r="R4" s="99"/>
      <c r="S4" s="4"/>
      <c r="T4" s="4"/>
      <c r="U4" s="4"/>
      <c r="V4" s="4"/>
      <c r="W4" s="101"/>
      <c r="X4" s="48"/>
      <c r="Y4" s="48"/>
      <c r="Z4" s="48"/>
      <c r="AA4" s="48"/>
      <c r="AB4" s="48"/>
      <c r="AC4" s="48"/>
      <c r="AD4" s="48"/>
      <c r="AE4" s="48"/>
      <c r="AF4" s="48"/>
      <c r="AG4" s="48"/>
      <c r="AH4" s="48"/>
      <c r="AI4" s="48"/>
      <c r="AJ4" s="48"/>
      <c r="AK4" s="48"/>
      <c r="AL4" s="48"/>
    </row>
    <row r="5" spans="1:38" ht="18.75" customHeight="1" x14ac:dyDescent="0.25">
      <c r="A5" s="94"/>
      <c r="B5" s="364"/>
      <c r="C5" s="365"/>
      <c r="D5" s="365"/>
      <c r="E5" s="365"/>
      <c r="F5" s="365"/>
      <c r="G5" s="365"/>
      <c r="H5" s="365"/>
      <c r="I5" s="365"/>
      <c r="J5" s="365"/>
      <c r="K5" s="365"/>
      <c r="L5" s="365"/>
      <c r="M5" s="365"/>
      <c r="N5" s="365"/>
      <c r="O5" s="365"/>
      <c r="P5" s="365"/>
      <c r="Q5" s="366"/>
      <c r="R5" s="99"/>
      <c r="S5" s="4"/>
      <c r="T5" s="4"/>
      <c r="U5" s="4"/>
      <c r="V5" s="4"/>
      <c r="W5" s="101"/>
      <c r="X5" s="48"/>
      <c r="Y5" s="48"/>
      <c r="Z5" s="48"/>
      <c r="AA5" s="48"/>
      <c r="AB5" s="48"/>
      <c r="AC5" s="48"/>
      <c r="AD5" s="48"/>
      <c r="AE5" s="48"/>
      <c r="AF5" s="48"/>
      <c r="AG5" s="48"/>
      <c r="AH5" s="48"/>
      <c r="AI5" s="48"/>
      <c r="AJ5" s="48"/>
      <c r="AK5" s="48"/>
      <c r="AL5" s="48"/>
    </row>
    <row r="6" spans="1:38" ht="18.75" customHeight="1" x14ac:dyDescent="0.25">
      <c r="A6" s="94"/>
      <c r="B6" s="367"/>
      <c r="C6" s="368"/>
      <c r="D6" s="368"/>
      <c r="E6" s="368"/>
      <c r="F6" s="368"/>
      <c r="G6" s="368"/>
      <c r="H6" s="368"/>
      <c r="I6" s="369"/>
      <c r="J6" s="368"/>
      <c r="K6" s="369"/>
      <c r="L6" s="368"/>
      <c r="M6" s="368"/>
      <c r="N6" s="368"/>
      <c r="O6" s="368"/>
      <c r="P6" s="368"/>
      <c r="Q6" s="370"/>
      <c r="R6" s="99"/>
      <c r="S6" s="4"/>
      <c r="T6" s="4"/>
      <c r="U6" s="4"/>
      <c r="V6" s="4"/>
      <c r="W6" s="101"/>
      <c r="X6" s="48"/>
      <c r="Y6" s="48"/>
      <c r="Z6" s="48"/>
      <c r="AA6" s="48"/>
      <c r="AB6" s="48"/>
      <c r="AC6" s="48"/>
      <c r="AD6" s="48"/>
      <c r="AE6" s="48"/>
      <c r="AF6" s="48"/>
      <c r="AG6" s="48"/>
      <c r="AH6" s="48"/>
      <c r="AI6" s="48"/>
      <c r="AJ6" s="48"/>
      <c r="AK6" s="48"/>
      <c r="AL6" s="48"/>
    </row>
    <row r="7" spans="1:38" ht="15" customHeight="1" x14ac:dyDescent="0.25">
      <c r="A7" s="94"/>
      <c r="B7" s="95"/>
      <c r="C7" s="96"/>
      <c r="D7" s="4"/>
      <c r="E7" s="97"/>
      <c r="F7" s="4"/>
      <c r="G7" s="203"/>
      <c r="H7" s="4"/>
      <c r="I7" s="4"/>
      <c r="J7" s="4"/>
      <c r="K7" s="4"/>
      <c r="L7" s="99"/>
      <c r="M7" s="98"/>
      <c r="N7" s="48"/>
      <c r="O7" s="48"/>
      <c r="P7" s="48"/>
      <c r="Q7" s="48"/>
      <c r="R7" s="99"/>
      <c r="S7" s="4"/>
      <c r="T7" s="4"/>
      <c r="U7" s="4"/>
      <c r="V7" s="4"/>
      <c r="W7" s="101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  <c r="AK7" s="48"/>
      <c r="AL7" s="48"/>
    </row>
    <row r="8" spans="1:38" ht="15" customHeight="1" x14ac:dyDescent="0.25">
      <c r="A8" s="94"/>
      <c r="B8" s="102" t="str">
        <f>'DADOS GERAIS'!$B$8</f>
        <v>Secretaria de Atenção Especializada à Saúde</v>
      </c>
      <c r="C8" s="103"/>
      <c r="D8" s="6"/>
      <c r="E8" s="104"/>
      <c r="F8" s="6"/>
      <c r="G8" s="204"/>
      <c r="H8" s="6"/>
      <c r="I8" s="201"/>
      <c r="J8" s="6"/>
      <c r="K8" s="201"/>
      <c r="L8" s="105"/>
      <c r="M8" s="6" t="str">
        <f>RESUMO!D8</f>
        <v>BDI Geral:</v>
      </c>
      <c r="N8" s="106"/>
      <c r="O8" s="6" t="str">
        <f>RESUMO!E8</f>
        <v>Encargo Social Mensalista:</v>
      </c>
      <c r="P8" s="106"/>
      <c r="Q8" s="53" t="str">
        <f>'DADOS GERAIS'!$B$22</f>
        <v>Data:</v>
      </c>
      <c r="R8" s="99"/>
      <c r="S8" s="4"/>
      <c r="T8" s="4"/>
      <c r="U8" s="4"/>
      <c r="V8" s="4"/>
      <c r="W8" s="101"/>
      <c r="X8" s="48"/>
      <c r="Y8" s="48"/>
      <c r="Z8" s="48"/>
      <c r="AA8" s="48"/>
      <c r="AB8" s="48"/>
      <c r="AC8" s="48"/>
      <c r="AD8" s="48"/>
      <c r="AE8" s="48"/>
      <c r="AF8" s="48"/>
      <c r="AG8" s="48"/>
      <c r="AH8" s="48"/>
      <c r="AI8" s="48"/>
      <c r="AJ8" s="48"/>
      <c r="AK8" s="48"/>
      <c r="AL8" s="48"/>
    </row>
    <row r="9" spans="1:38" ht="15" customHeight="1" x14ac:dyDescent="0.25">
      <c r="A9" s="94"/>
      <c r="B9" s="54" t="str">
        <f>'DADOS GERAIS'!$B$9</f>
        <v>Unidade Básica de Saúde Porte 2 - Área Construída: 500,17m²</v>
      </c>
      <c r="C9" s="107"/>
      <c r="D9" s="9"/>
      <c r="E9" s="108"/>
      <c r="F9" s="44"/>
      <c r="G9" s="205"/>
      <c r="H9" s="44"/>
      <c r="I9" s="44"/>
      <c r="J9" s="44"/>
      <c r="K9" s="44"/>
      <c r="L9" s="45"/>
      <c r="M9" s="109">
        <f>RESUMO!D9</f>
        <v>0.26869999999999999</v>
      </c>
      <c r="N9" s="108"/>
      <c r="O9" s="109">
        <f>RESUMO!E9</f>
        <v>0.47739999999999999</v>
      </c>
      <c r="P9" s="108"/>
      <c r="Q9" s="57" t="str">
        <f>'DADOS GERAIS'!$C$22</f>
        <v>02/2025</v>
      </c>
      <c r="R9" s="99"/>
      <c r="S9" s="4"/>
      <c r="T9" s="4"/>
      <c r="U9" s="4"/>
      <c r="V9" s="4"/>
      <c r="W9" s="101"/>
      <c r="X9" s="48"/>
      <c r="Y9" s="48"/>
      <c r="Z9" s="48"/>
      <c r="AA9" s="48"/>
      <c r="AB9" s="48"/>
      <c r="AC9" s="48"/>
      <c r="AD9" s="48"/>
      <c r="AE9" s="48"/>
      <c r="AF9" s="48"/>
      <c r="AG9" s="48"/>
      <c r="AH9" s="48"/>
      <c r="AI9" s="48"/>
      <c r="AJ9" s="48"/>
      <c r="AK9" s="48"/>
      <c r="AL9" s="48"/>
    </row>
    <row r="10" spans="1:38" ht="15" customHeight="1" x14ac:dyDescent="0.25">
      <c r="A10" s="94"/>
      <c r="B10" s="54"/>
      <c r="C10" s="107"/>
      <c r="D10" s="9"/>
      <c r="E10" s="108"/>
      <c r="F10" s="9"/>
      <c r="G10" s="206"/>
      <c r="H10" s="9"/>
      <c r="I10" s="9"/>
      <c r="J10" s="9"/>
      <c r="K10" s="9"/>
      <c r="L10" s="110"/>
      <c r="M10" s="9"/>
      <c r="N10" s="44"/>
      <c r="O10" s="44"/>
      <c r="P10" s="44"/>
      <c r="Q10" s="111"/>
      <c r="R10" s="99"/>
      <c r="S10" s="4"/>
      <c r="T10" s="4"/>
      <c r="U10" s="4"/>
      <c r="V10" s="4"/>
      <c r="W10" s="101"/>
      <c r="X10" s="48"/>
      <c r="Y10" s="48"/>
      <c r="Z10" s="48"/>
      <c r="AA10" s="48"/>
      <c r="AB10" s="48"/>
      <c r="AC10" s="48"/>
      <c r="AD10" s="48"/>
      <c r="AE10" s="48"/>
      <c r="AF10" s="48"/>
      <c r="AG10" s="48"/>
      <c r="AH10" s="48"/>
      <c r="AI10" s="48"/>
      <c r="AJ10" s="48"/>
      <c r="AK10" s="48"/>
      <c r="AL10" s="48"/>
    </row>
    <row r="11" spans="1:38" ht="15" customHeight="1" x14ac:dyDescent="0.25">
      <c r="A11" s="94"/>
      <c r="B11" s="60" t="str">
        <f>RESUMO!B11</f>
        <v>Bancos:</v>
      </c>
      <c r="C11" s="107"/>
      <c r="D11" s="9"/>
      <c r="E11" s="108"/>
      <c r="F11" s="9"/>
      <c r="G11" s="206"/>
      <c r="H11" s="9"/>
      <c r="I11" s="9"/>
      <c r="J11" s="9"/>
      <c r="K11" s="9"/>
      <c r="L11" s="110"/>
      <c r="M11" s="9" t="str">
        <f>RESUMO!D11</f>
        <v>BDI Equipamentos:</v>
      </c>
      <c r="N11" s="44"/>
      <c r="O11" s="112" t="str">
        <f>RESUMO!E11</f>
        <v>Encargo Social Horista:</v>
      </c>
      <c r="P11" s="44"/>
      <c r="Q11" s="59" t="str">
        <f>'DADOS GERAIS'!$B$23</f>
        <v>Revisão:</v>
      </c>
      <c r="R11" s="99"/>
      <c r="S11" s="4"/>
      <c r="T11" s="4"/>
      <c r="U11" s="4"/>
      <c r="V11" s="4"/>
      <c r="W11" s="101"/>
      <c r="X11" s="48"/>
      <c r="Y11" s="48"/>
      <c r="Z11" s="48"/>
      <c r="AA11" s="48"/>
      <c r="AB11" s="48"/>
      <c r="AC11" s="48"/>
      <c r="AD11" s="48"/>
      <c r="AE11" s="48"/>
      <c r="AF11" s="48"/>
      <c r="AG11" s="48"/>
      <c r="AH11" s="48"/>
      <c r="AI11" s="48"/>
      <c r="AJ11" s="48"/>
      <c r="AK11" s="48"/>
      <c r="AL11" s="48"/>
    </row>
    <row r="12" spans="1:38" ht="15" customHeight="1" x14ac:dyDescent="0.25">
      <c r="A12" s="94"/>
      <c r="B12" s="113" t="str">
        <f>'DADOS GERAIS'!$B$12</f>
        <v>SINAPI (12/2024) - CPOS/CDHU (09/2024) - SBC (12/2024) - ORSE (12/2024) - IOPES (03/2024) - EMOP (12/2024) - SEINFRA 027 (DESONERADO)</v>
      </c>
      <c r="C12" s="107"/>
      <c r="D12" s="9"/>
      <c r="E12" s="108"/>
      <c r="F12" s="9"/>
      <c r="G12" s="206"/>
      <c r="H12" s="9"/>
      <c r="I12" s="9"/>
      <c r="J12" s="9"/>
      <c r="K12" s="9"/>
      <c r="L12" s="110"/>
      <c r="M12" s="109">
        <f>RESUMO!D12</f>
        <v>0.19070000000000001</v>
      </c>
      <c r="N12" s="114"/>
      <c r="O12" s="109">
        <f>RESUMO!E12</f>
        <v>0.85799999999999998</v>
      </c>
      <c r="P12" s="114"/>
      <c r="Q12" s="115" t="str">
        <f>'DADOS GERAIS'!$C$23</f>
        <v>01</v>
      </c>
      <c r="R12" s="99"/>
      <c r="S12" s="4"/>
      <c r="T12" s="4"/>
      <c r="U12" s="4"/>
      <c r="V12" s="4"/>
      <c r="W12" s="101"/>
      <c r="X12" s="48"/>
      <c r="Y12" s="48"/>
      <c r="Z12" s="48"/>
      <c r="AA12" s="48"/>
      <c r="AB12" s="48"/>
      <c r="AC12" s="48"/>
      <c r="AD12" s="48"/>
      <c r="AE12" s="48"/>
      <c r="AF12" s="48"/>
      <c r="AG12" s="48"/>
      <c r="AH12" s="48"/>
      <c r="AI12" s="48"/>
      <c r="AJ12" s="48"/>
      <c r="AK12" s="48"/>
      <c r="AL12" s="48"/>
    </row>
    <row r="13" spans="1:38" ht="15" customHeight="1" x14ac:dyDescent="0.25">
      <c r="A13" s="94"/>
      <c r="B13" s="116"/>
      <c r="C13" s="117"/>
      <c r="D13" s="14"/>
      <c r="E13" s="118"/>
      <c r="F13" s="14"/>
      <c r="G13" s="207"/>
      <c r="H13" s="14"/>
      <c r="I13" s="202"/>
      <c r="J13" s="14"/>
      <c r="K13" s="202"/>
      <c r="L13" s="119"/>
      <c r="M13" s="14"/>
      <c r="N13" s="120"/>
      <c r="O13" s="120"/>
      <c r="P13" s="120"/>
      <c r="Q13" s="121"/>
      <c r="R13" s="122"/>
      <c r="S13" s="123"/>
      <c r="T13" s="123"/>
      <c r="U13" s="123"/>
      <c r="V13" s="123"/>
      <c r="W13" s="124"/>
      <c r="X13" s="48"/>
      <c r="Y13" s="48"/>
      <c r="Z13" s="48"/>
      <c r="AA13" s="48"/>
      <c r="AB13" s="48"/>
      <c r="AC13" s="48"/>
      <c r="AD13" s="48"/>
      <c r="AE13" s="48"/>
      <c r="AF13" s="48"/>
      <c r="AG13" s="48"/>
      <c r="AH13" s="48"/>
      <c r="AI13" s="48"/>
      <c r="AJ13" s="48"/>
      <c r="AK13" s="48"/>
      <c r="AL13" s="48"/>
    </row>
    <row r="14" spans="1:38" ht="15" customHeight="1" x14ac:dyDescent="0.25">
      <c r="A14" s="94"/>
      <c r="B14" s="95"/>
      <c r="C14" s="125"/>
      <c r="D14" s="48"/>
      <c r="E14" s="126"/>
      <c r="F14" s="48"/>
      <c r="G14" s="208"/>
      <c r="H14" s="48"/>
      <c r="I14" s="48"/>
      <c r="J14" s="48"/>
      <c r="K14" s="48"/>
      <c r="L14" s="49"/>
      <c r="M14" s="4"/>
      <c r="N14" s="48"/>
      <c r="O14" s="48"/>
      <c r="P14" s="48"/>
      <c r="Q14" s="48"/>
      <c r="R14" s="99"/>
      <c r="S14" s="4"/>
      <c r="T14" s="4"/>
      <c r="U14" s="4"/>
      <c r="V14" s="4"/>
      <c r="W14" s="101"/>
      <c r="X14" s="48"/>
      <c r="Y14" s="48"/>
      <c r="Z14" s="48"/>
      <c r="AA14" s="48"/>
      <c r="AB14" s="48"/>
      <c r="AC14" s="48"/>
      <c r="AD14" s="48"/>
      <c r="AE14" s="48"/>
      <c r="AF14" s="48"/>
      <c r="AG14" s="48"/>
      <c r="AH14" s="48"/>
      <c r="AI14" s="48"/>
      <c r="AJ14" s="48"/>
      <c r="AK14" s="48"/>
      <c r="AL14" s="48"/>
    </row>
    <row r="15" spans="1:38" ht="15" customHeight="1" x14ac:dyDescent="0.25">
      <c r="A15" s="127"/>
      <c r="B15" s="371" t="s">
        <v>27</v>
      </c>
      <c r="C15" s="373" t="s">
        <v>28</v>
      </c>
      <c r="D15" s="371" t="s">
        <v>29</v>
      </c>
      <c r="E15" s="371" t="s">
        <v>30</v>
      </c>
      <c r="F15" s="374" t="s">
        <v>31</v>
      </c>
      <c r="G15" s="375" t="s">
        <v>32</v>
      </c>
      <c r="H15" s="373" t="s">
        <v>33</v>
      </c>
      <c r="I15" s="381" t="s">
        <v>1643</v>
      </c>
      <c r="J15" s="377" t="s">
        <v>34</v>
      </c>
      <c r="K15" s="378"/>
      <c r="L15" s="379"/>
      <c r="M15" s="380"/>
      <c r="N15" s="377" t="s">
        <v>35</v>
      </c>
      <c r="O15" s="379"/>
      <c r="P15" s="380"/>
      <c r="Q15" s="373" t="s">
        <v>36</v>
      </c>
      <c r="R15" s="96"/>
      <c r="S15" s="96"/>
      <c r="T15" s="124"/>
      <c r="U15" s="125"/>
      <c r="V15" s="125"/>
      <c r="W15" s="125"/>
      <c r="X15" s="125"/>
      <c r="Y15" s="125"/>
      <c r="Z15" s="125"/>
      <c r="AA15" s="125"/>
      <c r="AB15" s="125"/>
      <c r="AC15" s="125"/>
      <c r="AD15" s="125"/>
      <c r="AE15" s="125"/>
      <c r="AF15" s="125"/>
      <c r="AG15" s="125"/>
      <c r="AH15" s="125"/>
      <c r="AI15" s="125"/>
      <c r="AJ15" s="125"/>
      <c r="AK15" s="44"/>
      <c r="AL15" s="44"/>
    </row>
    <row r="16" spans="1:38" x14ac:dyDescent="0.25">
      <c r="A16" s="127"/>
      <c r="B16" s="372"/>
      <c r="C16" s="372"/>
      <c r="D16" s="372"/>
      <c r="E16" s="372"/>
      <c r="F16" s="372"/>
      <c r="G16" s="376"/>
      <c r="H16" s="372"/>
      <c r="I16" s="382"/>
      <c r="J16" s="128" t="s">
        <v>37</v>
      </c>
      <c r="K16" s="289" t="s">
        <v>1644</v>
      </c>
      <c r="L16" s="128" t="s">
        <v>38</v>
      </c>
      <c r="M16" s="128" t="s">
        <v>35</v>
      </c>
      <c r="N16" s="128" t="s">
        <v>37</v>
      </c>
      <c r="O16" s="128" t="s">
        <v>38</v>
      </c>
      <c r="P16" s="128" t="s">
        <v>35</v>
      </c>
      <c r="Q16" s="372"/>
      <c r="R16" s="96"/>
      <c r="S16" s="96"/>
      <c r="T16" s="124"/>
      <c r="U16" s="125"/>
      <c r="V16" s="125"/>
      <c r="W16" s="125"/>
      <c r="X16" s="125"/>
      <c r="Y16" s="125"/>
      <c r="Z16" s="125"/>
      <c r="AA16" s="125"/>
      <c r="AB16" s="125"/>
      <c r="AC16" s="125"/>
      <c r="AD16" s="125"/>
      <c r="AE16" s="125"/>
      <c r="AF16" s="125"/>
      <c r="AG16" s="125"/>
      <c r="AH16" s="125"/>
      <c r="AI16" s="125"/>
      <c r="AJ16" s="125"/>
      <c r="AK16" s="44"/>
      <c r="AL16" s="44"/>
    </row>
    <row r="17" spans="1:38" ht="15.6" x14ac:dyDescent="0.25">
      <c r="A17" s="94"/>
      <c r="B17" s="129"/>
      <c r="C17" s="130"/>
      <c r="D17" s="130"/>
      <c r="E17" s="131"/>
      <c r="F17" s="132"/>
      <c r="G17" s="209"/>
      <c r="H17" s="130"/>
      <c r="I17" s="288"/>
      <c r="J17" s="133"/>
      <c r="K17" s="290"/>
      <c r="L17" s="133"/>
      <c r="M17" s="133"/>
      <c r="N17" s="134"/>
      <c r="O17" s="122"/>
      <c r="P17" s="96"/>
      <c r="Q17" s="96"/>
      <c r="R17" s="96"/>
      <c r="S17" s="96"/>
      <c r="T17" s="101"/>
      <c r="U17" s="48"/>
      <c r="V17" s="48"/>
      <c r="W17" s="48"/>
      <c r="X17" s="48"/>
      <c r="Y17" s="48"/>
      <c r="Z17" s="48"/>
      <c r="AA17" s="48"/>
      <c r="AB17" s="48"/>
      <c r="AC17" s="48"/>
      <c r="AD17" s="48"/>
      <c r="AE17" s="48"/>
      <c r="AF17" s="48"/>
      <c r="AG17" s="48"/>
      <c r="AH17" s="48"/>
      <c r="AI17" s="48"/>
      <c r="AJ17" s="48"/>
      <c r="AK17" s="44"/>
      <c r="AL17" s="44"/>
    </row>
    <row r="18" spans="1:38" ht="15" customHeight="1" x14ac:dyDescent="0.25">
      <c r="A18" s="94"/>
      <c r="B18" s="261">
        <v>1</v>
      </c>
      <c r="C18" s="261"/>
      <c r="D18" s="261"/>
      <c r="E18" s="261" t="s">
        <v>501</v>
      </c>
      <c r="F18" s="261"/>
      <c r="G18" s="276"/>
      <c r="H18" s="262"/>
      <c r="I18" s="286"/>
      <c r="J18" s="261"/>
      <c r="K18" s="291"/>
      <c r="L18" s="261"/>
      <c r="M18" s="261"/>
      <c r="N18" s="261"/>
      <c r="O18" s="261"/>
      <c r="P18" s="263"/>
      <c r="Q18" s="264"/>
      <c r="R18" s="135"/>
      <c r="S18" s="135"/>
      <c r="T18" s="126"/>
      <c r="U18" s="48"/>
      <c r="V18" s="48"/>
      <c r="W18" s="48"/>
      <c r="X18" s="48"/>
      <c r="Y18" s="48"/>
      <c r="Z18" s="48"/>
      <c r="AA18" s="48"/>
      <c r="AB18" s="48"/>
      <c r="AC18" s="48"/>
      <c r="AD18" s="48"/>
      <c r="AE18" s="48"/>
      <c r="AF18" s="48"/>
      <c r="AG18" s="48"/>
      <c r="AH18" s="48"/>
      <c r="AI18" s="48"/>
      <c r="AJ18" s="48"/>
      <c r="AK18" s="44"/>
      <c r="AL18" s="44"/>
    </row>
    <row r="19" spans="1:38" x14ac:dyDescent="0.25">
      <c r="A19" s="94"/>
      <c r="B19" s="261" t="s">
        <v>39</v>
      </c>
      <c r="C19" s="261"/>
      <c r="D19" s="261"/>
      <c r="E19" s="261" t="s">
        <v>502</v>
      </c>
      <c r="F19" s="261"/>
      <c r="G19" s="276"/>
      <c r="H19" s="262"/>
      <c r="I19" s="286"/>
      <c r="J19" s="261"/>
      <c r="K19" s="291"/>
      <c r="L19" s="261"/>
      <c r="M19" s="261"/>
      <c r="N19" s="261"/>
      <c r="O19" s="261"/>
      <c r="P19" s="263"/>
      <c r="Q19" s="264"/>
      <c r="R19" s="85"/>
      <c r="S19" s="49" t="s">
        <v>1674</v>
      </c>
      <c r="T19" s="126"/>
      <c r="U19" s="48"/>
      <c r="V19" s="48"/>
      <c r="W19" s="48"/>
      <c r="X19" s="48"/>
      <c r="Y19" s="48"/>
      <c r="Z19" s="48"/>
      <c r="AA19" s="48"/>
      <c r="AB19" s="48"/>
      <c r="AC19" s="48"/>
      <c r="AD19" s="48"/>
      <c r="AE19" s="48"/>
      <c r="AF19" s="48"/>
      <c r="AG19" s="48"/>
      <c r="AH19" s="48"/>
      <c r="AI19" s="48"/>
      <c r="AJ19" s="48"/>
      <c r="AK19" s="44"/>
      <c r="AL19" s="44"/>
    </row>
    <row r="20" spans="1:38" x14ac:dyDescent="0.25">
      <c r="A20" s="94"/>
      <c r="B20" s="265" t="s">
        <v>503</v>
      </c>
      <c r="C20" s="266" t="s">
        <v>783</v>
      </c>
      <c r="D20" s="265" t="s">
        <v>199</v>
      </c>
      <c r="E20" s="265" t="s">
        <v>784</v>
      </c>
      <c r="F20" s="267" t="s">
        <v>785</v>
      </c>
      <c r="G20" s="277">
        <v>12</v>
      </c>
      <c r="H20" s="268">
        <v>895.61</v>
      </c>
      <c r="I20" s="287">
        <f>24.51+24.51+26.81</f>
        <v>75.83</v>
      </c>
      <c r="J20" s="268">
        <f>I20*(1+$M$9)</f>
        <v>96.21</v>
      </c>
      <c r="K20" s="292">
        <f>H20-I20</f>
        <v>819.78</v>
      </c>
      <c r="L20" s="268">
        <f>K20*(1+$M$9)</f>
        <v>1040.05</v>
      </c>
      <c r="M20" s="268">
        <f>L20+J20</f>
        <v>1136.26</v>
      </c>
      <c r="N20" s="268">
        <f>J20*G20</f>
        <v>1154.52</v>
      </c>
      <c r="O20" s="268">
        <f>L20*G20</f>
        <v>12480.6</v>
      </c>
      <c r="P20" s="268">
        <f>O20+N20</f>
        <v>13635.12</v>
      </c>
      <c r="Q20" s="269">
        <f>P20/$O$485</f>
        <v>5.4000000000000003E-3</v>
      </c>
      <c r="R20" s="44"/>
      <c r="S20" s="49">
        <f>G20*H20</f>
        <v>10747.32</v>
      </c>
      <c r="T20" s="124"/>
      <c r="U20" s="48"/>
      <c r="V20" s="48"/>
      <c r="W20" s="48"/>
      <c r="X20" s="48"/>
      <c r="Y20" s="48"/>
      <c r="Z20" s="48"/>
      <c r="AA20" s="48"/>
      <c r="AB20" s="48"/>
      <c r="AC20" s="48"/>
      <c r="AD20" s="48"/>
      <c r="AE20" s="48"/>
      <c r="AF20" s="48"/>
      <c r="AG20" s="48"/>
      <c r="AH20" s="48"/>
      <c r="AI20" s="48"/>
      <c r="AJ20" s="48"/>
      <c r="AK20" s="44"/>
      <c r="AL20" s="44"/>
    </row>
    <row r="21" spans="1:38" ht="27.6" x14ac:dyDescent="0.25">
      <c r="A21" s="94"/>
      <c r="B21" s="265" t="s">
        <v>504</v>
      </c>
      <c r="C21" s="266" t="s">
        <v>980</v>
      </c>
      <c r="D21" s="265" t="s">
        <v>146</v>
      </c>
      <c r="E21" s="265" t="s">
        <v>981</v>
      </c>
      <c r="F21" s="267" t="s">
        <v>41</v>
      </c>
      <c r="G21" s="277">
        <v>16</v>
      </c>
      <c r="H21" s="268">
        <v>199.84</v>
      </c>
      <c r="I21" s="287">
        <f>20.85+10.62+18.36</f>
        <v>49.83</v>
      </c>
      <c r="J21" s="268">
        <f t="shared" ref="J21:J83" si="0">I21*(1+$M$9)</f>
        <v>63.22</v>
      </c>
      <c r="K21" s="292">
        <f>H21-I21</f>
        <v>150.01</v>
      </c>
      <c r="L21" s="268">
        <f t="shared" ref="L21:L52" si="1">K21*(1+$M$9)</f>
        <v>190.32</v>
      </c>
      <c r="M21" s="268">
        <f t="shared" ref="M21:M29" si="2">L21+J21</f>
        <v>253.54</v>
      </c>
      <c r="N21" s="268">
        <f t="shared" ref="N21:N29" si="3">J21*G21</f>
        <v>1011.52</v>
      </c>
      <c r="O21" s="268">
        <f t="shared" ref="O21:O29" si="4">L21*G21</f>
        <v>3045.12</v>
      </c>
      <c r="P21" s="268">
        <f t="shared" ref="P21:P29" si="5">O21+N21</f>
        <v>4056.64</v>
      </c>
      <c r="Q21" s="269">
        <f t="shared" ref="Q21:Q83" si="6">P21/$O$485</f>
        <v>1.6000000000000001E-3</v>
      </c>
      <c r="R21" s="44"/>
      <c r="S21" s="49">
        <f t="shared" ref="S21:S84" si="7">G21*H21</f>
        <v>3197.44</v>
      </c>
      <c r="T21" s="126"/>
      <c r="U21" s="48"/>
      <c r="V21" s="48"/>
      <c r="W21" s="48"/>
      <c r="X21" s="48"/>
      <c r="Y21" s="48"/>
      <c r="Z21" s="48"/>
      <c r="AA21" s="48"/>
      <c r="AB21" s="48"/>
      <c r="AC21" s="48"/>
      <c r="AD21" s="48"/>
      <c r="AE21" s="48"/>
      <c r="AF21" s="48"/>
      <c r="AG21" s="48"/>
      <c r="AH21" s="48"/>
      <c r="AI21" s="48"/>
      <c r="AJ21" s="48"/>
      <c r="AK21" s="44"/>
      <c r="AL21" s="44"/>
    </row>
    <row r="22" spans="1:38" x14ac:dyDescent="0.25">
      <c r="A22" s="94"/>
      <c r="B22" s="265" t="s">
        <v>505</v>
      </c>
      <c r="C22" s="266" t="s">
        <v>1342</v>
      </c>
      <c r="D22" s="265" t="s">
        <v>146</v>
      </c>
      <c r="E22" s="265" t="s">
        <v>1343</v>
      </c>
      <c r="F22" s="267" t="s">
        <v>1344</v>
      </c>
      <c r="G22" s="277">
        <v>12</v>
      </c>
      <c r="H22" s="268">
        <v>945.23</v>
      </c>
      <c r="I22" s="287">
        <v>0</v>
      </c>
      <c r="J22" s="268">
        <f t="shared" si="0"/>
        <v>0</v>
      </c>
      <c r="K22" s="292">
        <f>H22</f>
        <v>945.23</v>
      </c>
      <c r="L22" s="268">
        <f t="shared" si="1"/>
        <v>1199.21</v>
      </c>
      <c r="M22" s="268">
        <f t="shared" si="2"/>
        <v>1199.21</v>
      </c>
      <c r="N22" s="268">
        <f t="shared" si="3"/>
        <v>0</v>
      </c>
      <c r="O22" s="268">
        <f t="shared" si="4"/>
        <v>14390.52</v>
      </c>
      <c r="P22" s="268">
        <f t="shared" si="5"/>
        <v>14390.52</v>
      </c>
      <c r="Q22" s="269">
        <f t="shared" si="6"/>
        <v>5.7000000000000002E-3</v>
      </c>
      <c r="R22" s="44"/>
      <c r="S22" s="49">
        <f t="shared" si="7"/>
        <v>11342.76</v>
      </c>
      <c r="T22" s="126"/>
      <c r="U22" s="48"/>
      <c r="V22" s="48"/>
      <c r="W22" s="48"/>
      <c r="X22" s="48"/>
      <c r="Y22" s="48"/>
      <c r="Z22" s="48"/>
      <c r="AA22" s="48"/>
      <c r="AB22" s="48"/>
      <c r="AC22" s="48"/>
      <c r="AD22" s="48"/>
      <c r="AE22" s="48"/>
      <c r="AF22" s="48"/>
      <c r="AG22" s="48"/>
      <c r="AH22" s="48"/>
      <c r="AI22" s="48"/>
      <c r="AJ22" s="48"/>
      <c r="AK22" s="44"/>
      <c r="AL22" s="44"/>
    </row>
    <row r="23" spans="1:38" x14ac:dyDescent="0.25">
      <c r="A23" s="94"/>
      <c r="B23" s="265" t="s">
        <v>506</v>
      </c>
      <c r="C23" s="266" t="s">
        <v>982</v>
      </c>
      <c r="D23" s="265" t="s">
        <v>51</v>
      </c>
      <c r="E23" s="265" t="s">
        <v>983</v>
      </c>
      <c r="F23" s="267" t="s">
        <v>41</v>
      </c>
      <c r="G23" s="277">
        <v>20</v>
      </c>
      <c r="H23" s="268">
        <v>878.71</v>
      </c>
      <c r="I23" s="287">
        <f>161.25+142.77+174.3</f>
        <v>478.32</v>
      </c>
      <c r="J23" s="268">
        <f t="shared" si="0"/>
        <v>606.84</v>
      </c>
      <c r="K23" s="292">
        <f>H23-I23</f>
        <v>400.39</v>
      </c>
      <c r="L23" s="268">
        <f t="shared" si="1"/>
        <v>507.97</v>
      </c>
      <c r="M23" s="268">
        <f t="shared" si="2"/>
        <v>1114.81</v>
      </c>
      <c r="N23" s="268">
        <f t="shared" si="3"/>
        <v>12136.8</v>
      </c>
      <c r="O23" s="268">
        <f t="shared" si="4"/>
        <v>10159.4</v>
      </c>
      <c r="P23" s="268">
        <f t="shared" si="5"/>
        <v>22296.2</v>
      </c>
      <c r="Q23" s="269">
        <f t="shared" si="6"/>
        <v>8.8000000000000005E-3</v>
      </c>
      <c r="R23" s="44"/>
      <c r="S23" s="49">
        <f t="shared" si="7"/>
        <v>17574.2</v>
      </c>
      <c r="T23" s="126"/>
      <c r="U23" s="48"/>
      <c r="V23" s="48"/>
      <c r="W23" s="48"/>
      <c r="X23" s="48"/>
      <c r="Y23" s="48"/>
      <c r="Z23" s="48"/>
      <c r="AA23" s="48"/>
      <c r="AB23" s="48"/>
      <c r="AC23" s="48"/>
      <c r="AD23" s="48"/>
      <c r="AE23" s="48"/>
      <c r="AF23" s="48"/>
      <c r="AG23" s="48"/>
      <c r="AH23" s="48"/>
      <c r="AI23" s="48"/>
      <c r="AJ23" s="48"/>
      <c r="AK23" s="44"/>
      <c r="AL23" s="44"/>
    </row>
    <row r="24" spans="1:38" ht="27.6" x14ac:dyDescent="0.25">
      <c r="A24" s="94"/>
      <c r="B24" s="265" t="s">
        <v>507</v>
      </c>
      <c r="C24" s="266" t="s">
        <v>43</v>
      </c>
      <c r="D24" s="265" t="s">
        <v>40</v>
      </c>
      <c r="E24" s="265" t="s">
        <v>984</v>
      </c>
      <c r="F24" s="267" t="s">
        <v>44</v>
      </c>
      <c r="G24" s="277">
        <v>1</v>
      </c>
      <c r="H24" s="268">
        <f t="shared" ref="H24:H29" si="8">I24+K24</f>
        <v>536.72</v>
      </c>
      <c r="I24" s="287">
        <v>54.44</v>
      </c>
      <c r="J24" s="268">
        <f t="shared" si="0"/>
        <v>69.069999999999993</v>
      </c>
      <c r="K24" s="292">
        <v>482.28</v>
      </c>
      <c r="L24" s="268">
        <f t="shared" si="1"/>
        <v>611.87</v>
      </c>
      <c r="M24" s="268">
        <f t="shared" si="2"/>
        <v>680.94</v>
      </c>
      <c r="N24" s="268">
        <f t="shared" si="3"/>
        <v>69.069999999999993</v>
      </c>
      <c r="O24" s="268">
        <f t="shared" si="4"/>
        <v>611.87</v>
      </c>
      <c r="P24" s="268">
        <f t="shared" si="5"/>
        <v>680.94</v>
      </c>
      <c r="Q24" s="269">
        <f t="shared" si="6"/>
        <v>2.9999999999999997E-4</v>
      </c>
      <c r="R24" s="44"/>
      <c r="S24" s="49">
        <f t="shared" si="7"/>
        <v>536.72</v>
      </c>
      <c r="T24" s="126"/>
      <c r="U24" s="48"/>
      <c r="V24" s="48"/>
      <c r="W24" s="48"/>
      <c r="X24" s="48"/>
      <c r="Y24" s="48"/>
      <c r="Z24" s="48"/>
      <c r="AA24" s="48"/>
      <c r="AB24" s="48"/>
      <c r="AC24" s="48"/>
      <c r="AD24" s="48"/>
      <c r="AE24" s="48"/>
      <c r="AF24" s="48"/>
      <c r="AG24" s="48"/>
      <c r="AH24" s="48"/>
      <c r="AI24" s="48"/>
      <c r="AJ24" s="48"/>
      <c r="AK24" s="44"/>
      <c r="AL24" s="44"/>
    </row>
    <row r="25" spans="1:38" x14ac:dyDescent="0.25">
      <c r="A25" s="94"/>
      <c r="B25" s="265" t="s">
        <v>508</v>
      </c>
      <c r="C25" s="266" t="s">
        <v>45</v>
      </c>
      <c r="D25" s="265" t="s">
        <v>40</v>
      </c>
      <c r="E25" s="265" t="s">
        <v>985</v>
      </c>
      <c r="F25" s="267" t="s">
        <v>44</v>
      </c>
      <c r="G25" s="277">
        <v>1</v>
      </c>
      <c r="H25" s="268">
        <f>I25+K25</f>
        <v>110.31</v>
      </c>
      <c r="I25" s="292">
        <v>14.3</v>
      </c>
      <c r="J25" s="268">
        <f t="shared" si="0"/>
        <v>18.14</v>
      </c>
      <c r="K25" s="292">
        <v>96.01</v>
      </c>
      <c r="L25" s="268">
        <f t="shared" si="1"/>
        <v>121.81</v>
      </c>
      <c r="M25" s="268">
        <f t="shared" si="2"/>
        <v>139.94999999999999</v>
      </c>
      <c r="N25" s="268">
        <f t="shared" si="3"/>
        <v>18.14</v>
      </c>
      <c r="O25" s="268">
        <f t="shared" si="4"/>
        <v>121.81</v>
      </c>
      <c r="P25" s="268">
        <f t="shared" si="5"/>
        <v>139.94999999999999</v>
      </c>
      <c r="Q25" s="269">
        <f t="shared" si="6"/>
        <v>1E-4</v>
      </c>
      <c r="R25" s="44"/>
      <c r="S25" s="49">
        <f t="shared" si="7"/>
        <v>110.31</v>
      </c>
      <c r="T25" s="126"/>
      <c r="U25" s="48"/>
      <c r="V25" s="48"/>
      <c r="W25" s="48"/>
      <c r="X25" s="48"/>
      <c r="Y25" s="48"/>
      <c r="Z25" s="48"/>
      <c r="AA25" s="48"/>
      <c r="AB25" s="48"/>
      <c r="AC25" s="48"/>
      <c r="AD25" s="48"/>
      <c r="AE25" s="48"/>
      <c r="AF25" s="48"/>
      <c r="AG25" s="48"/>
      <c r="AH25" s="48"/>
      <c r="AI25" s="48"/>
      <c r="AJ25" s="48"/>
      <c r="AK25" s="44"/>
      <c r="AL25" s="44"/>
    </row>
    <row r="26" spans="1:38" ht="27.6" x14ac:dyDescent="0.25">
      <c r="A26" s="94"/>
      <c r="B26" s="265" t="s">
        <v>509</v>
      </c>
      <c r="C26" s="266" t="s">
        <v>46</v>
      </c>
      <c r="D26" s="265" t="s">
        <v>40</v>
      </c>
      <c r="E26" s="265" t="s">
        <v>47</v>
      </c>
      <c r="F26" s="267" t="s">
        <v>44</v>
      </c>
      <c r="G26" s="277">
        <v>1</v>
      </c>
      <c r="H26" s="268">
        <f t="shared" si="8"/>
        <v>1851.56</v>
      </c>
      <c r="I26" s="287">
        <v>326.19</v>
      </c>
      <c r="J26" s="268">
        <f t="shared" si="0"/>
        <v>413.84</v>
      </c>
      <c r="K26" s="292">
        <f>1518.64+6.73</f>
        <v>1525.37</v>
      </c>
      <c r="L26" s="268">
        <f t="shared" si="1"/>
        <v>1935.24</v>
      </c>
      <c r="M26" s="268">
        <f t="shared" si="2"/>
        <v>2349.08</v>
      </c>
      <c r="N26" s="268">
        <f t="shared" si="3"/>
        <v>413.84</v>
      </c>
      <c r="O26" s="268">
        <f t="shared" si="4"/>
        <v>1935.24</v>
      </c>
      <c r="P26" s="268">
        <f t="shared" si="5"/>
        <v>2349.08</v>
      </c>
      <c r="Q26" s="269">
        <f t="shared" si="6"/>
        <v>8.9999999999999998E-4</v>
      </c>
      <c r="R26" s="44"/>
      <c r="S26" s="49">
        <f t="shared" si="7"/>
        <v>1851.56</v>
      </c>
      <c r="T26" s="126"/>
      <c r="U26" s="48"/>
      <c r="V26" s="48"/>
      <c r="W26" s="48"/>
      <c r="X26" s="48"/>
      <c r="Y26" s="48"/>
      <c r="Z26" s="48"/>
      <c r="AA26" s="48"/>
      <c r="AB26" s="48"/>
      <c r="AC26" s="48"/>
      <c r="AD26" s="48"/>
      <c r="AE26" s="48"/>
      <c r="AF26" s="48"/>
      <c r="AG26" s="48"/>
      <c r="AH26" s="48"/>
      <c r="AI26" s="48"/>
      <c r="AJ26" s="48"/>
      <c r="AK26" s="44"/>
      <c r="AL26" s="44"/>
    </row>
    <row r="27" spans="1:38" ht="27.6" x14ac:dyDescent="0.25">
      <c r="A27" s="94"/>
      <c r="B27" s="265" t="s">
        <v>510</v>
      </c>
      <c r="C27" s="266" t="s">
        <v>48</v>
      </c>
      <c r="D27" s="265" t="s">
        <v>40</v>
      </c>
      <c r="E27" s="265" t="s">
        <v>49</v>
      </c>
      <c r="F27" s="267" t="s">
        <v>41</v>
      </c>
      <c r="G27" s="277">
        <v>6</v>
      </c>
      <c r="H27" s="268">
        <f t="shared" si="8"/>
        <v>458.06</v>
      </c>
      <c r="I27" s="287">
        <v>26.54</v>
      </c>
      <c r="J27" s="268">
        <f t="shared" si="0"/>
        <v>33.67</v>
      </c>
      <c r="K27" s="292">
        <v>431.52</v>
      </c>
      <c r="L27" s="268">
        <f t="shared" si="1"/>
        <v>547.47</v>
      </c>
      <c r="M27" s="268">
        <f t="shared" si="2"/>
        <v>581.14</v>
      </c>
      <c r="N27" s="268">
        <f t="shared" si="3"/>
        <v>202.02</v>
      </c>
      <c r="O27" s="268">
        <f t="shared" si="4"/>
        <v>3284.82</v>
      </c>
      <c r="P27" s="268">
        <f t="shared" si="5"/>
        <v>3486.84</v>
      </c>
      <c r="Q27" s="269">
        <f t="shared" si="6"/>
        <v>1.4E-3</v>
      </c>
      <c r="R27" s="44"/>
      <c r="S27" s="49">
        <f t="shared" si="7"/>
        <v>2748.36</v>
      </c>
      <c r="T27" s="126"/>
      <c r="U27" s="48"/>
      <c r="V27" s="48"/>
      <c r="W27" s="48"/>
      <c r="X27" s="48"/>
      <c r="Y27" s="48"/>
      <c r="Z27" s="48"/>
      <c r="AA27" s="48"/>
      <c r="AB27" s="48"/>
      <c r="AC27" s="48"/>
      <c r="AD27" s="48"/>
      <c r="AE27" s="48"/>
      <c r="AF27" s="48"/>
      <c r="AG27" s="48"/>
      <c r="AH27" s="48"/>
      <c r="AI27" s="48"/>
      <c r="AJ27" s="48"/>
      <c r="AK27" s="44"/>
      <c r="AL27" s="44"/>
    </row>
    <row r="28" spans="1:38" ht="27.6" x14ac:dyDescent="0.25">
      <c r="A28" s="94"/>
      <c r="B28" s="265" t="s">
        <v>511</v>
      </c>
      <c r="C28" s="266" t="s">
        <v>513</v>
      </c>
      <c r="D28" s="265" t="s">
        <v>199</v>
      </c>
      <c r="E28" s="265" t="s">
        <v>754</v>
      </c>
      <c r="F28" s="267" t="s">
        <v>59</v>
      </c>
      <c r="G28" s="277">
        <v>120</v>
      </c>
      <c r="H28" s="268">
        <v>107.65</v>
      </c>
      <c r="I28" s="287">
        <v>11.14</v>
      </c>
      <c r="J28" s="268">
        <f t="shared" si="0"/>
        <v>14.13</v>
      </c>
      <c r="K28" s="292">
        <f>H28-I28</f>
        <v>96.51</v>
      </c>
      <c r="L28" s="268">
        <f t="shared" si="1"/>
        <v>122.44</v>
      </c>
      <c r="M28" s="268">
        <f t="shared" si="2"/>
        <v>136.57</v>
      </c>
      <c r="N28" s="268">
        <f t="shared" si="3"/>
        <v>1695.6</v>
      </c>
      <c r="O28" s="268">
        <f t="shared" si="4"/>
        <v>14692.8</v>
      </c>
      <c r="P28" s="268">
        <f t="shared" si="5"/>
        <v>16388.400000000001</v>
      </c>
      <c r="Q28" s="269">
        <f t="shared" si="6"/>
        <v>6.4999999999999997E-3</v>
      </c>
      <c r="R28" s="44"/>
      <c r="S28" s="49">
        <f t="shared" si="7"/>
        <v>12918</v>
      </c>
      <c r="T28" s="126"/>
      <c r="U28" s="48"/>
      <c r="V28" s="48"/>
      <c r="W28" s="48"/>
      <c r="X28" s="48"/>
      <c r="Y28" s="48"/>
      <c r="Z28" s="48"/>
      <c r="AA28" s="48"/>
      <c r="AB28" s="48"/>
      <c r="AC28" s="48"/>
      <c r="AD28" s="48"/>
      <c r="AE28" s="48"/>
      <c r="AF28" s="48"/>
      <c r="AG28" s="48"/>
      <c r="AH28" s="48"/>
      <c r="AI28" s="48"/>
      <c r="AJ28" s="48"/>
      <c r="AK28" s="44"/>
      <c r="AL28" s="44"/>
    </row>
    <row r="29" spans="1:38" x14ac:dyDescent="0.25">
      <c r="A29" s="94"/>
      <c r="B29" s="265" t="s">
        <v>512</v>
      </c>
      <c r="C29" s="266" t="s">
        <v>50</v>
      </c>
      <c r="D29" s="265" t="s">
        <v>40</v>
      </c>
      <c r="E29" s="265" t="s">
        <v>986</v>
      </c>
      <c r="F29" s="267" t="s">
        <v>41</v>
      </c>
      <c r="G29" s="277">
        <v>382.58</v>
      </c>
      <c r="H29" s="268">
        <f t="shared" si="8"/>
        <v>88.75</v>
      </c>
      <c r="I29" s="287">
        <v>21.85</v>
      </c>
      <c r="J29" s="268">
        <f t="shared" si="0"/>
        <v>27.72</v>
      </c>
      <c r="K29" s="292">
        <v>66.900000000000006</v>
      </c>
      <c r="L29" s="268">
        <f t="shared" si="1"/>
        <v>84.88</v>
      </c>
      <c r="M29" s="268">
        <f t="shared" si="2"/>
        <v>112.6</v>
      </c>
      <c r="N29" s="268">
        <f t="shared" si="3"/>
        <v>10605.12</v>
      </c>
      <c r="O29" s="268">
        <f t="shared" si="4"/>
        <v>32473.39</v>
      </c>
      <c r="P29" s="268">
        <f t="shared" si="5"/>
        <v>43078.51</v>
      </c>
      <c r="Q29" s="269">
        <f t="shared" si="6"/>
        <v>1.7000000000000001E-2</v>
      </c>
      <c r="R29" s="44"/>
      <c r="S29" s="49">
        <f t="shared" si="7"/>
        <v>33953.980000000003</v>
      </c>
      <c r="T29" s="126"/>
      <c r="U29" s="48"/>
      <c r="V29" s="48"/>
      <c r="W29" s="48"/>
      <c r="X29" s="48"/>
      <c r="Y29" s="48"/>
      <c r="Z29" s="48"/>
      <c r="AA29" s="48"/>
      <c r="AB29" s="48"/>
      <c r="AC29" s="48"/>
      <c r="AD29" s="48"/>
      <c r="AE29" s="48"/>
      <c r="AF29" s="48"/>
      <c r="AG29" s="48"/>
      <c r="AH29" s="48"/>
      <c r="AI29" s="48"/>
      <c r="AJ29" s="48"/>
      <c r="AK29" s="44"/>
      <c r="AL29" s="44"/>
    </row>
    <row r="30" spans="1:38" x14ac:dyDescent="0.25">
      <c r="A30" s="94"/>
      <c r="B30" s="261" t="s">
        <v>755</v>
      </c>
      <c r="C30" s="261"/>
      <c r="D30" s="261"/>
      <c r="E30" s="261" t="s">
        <v>795</v>
      </c>
      <c r="F30" s="261"/>
      <c r="G30" s="276"/>
      <c r="H30" s="262"/>
      <c r="I30" s="286"/>
      <c r="J30" s="261"/>
      <c r="K30" s="291"/>
      <c r="L30" s="261"/>
      <c r="M30" s="261"/>
      <c r="N30" s="261"/>
      <c r="O30" s="261"/>
      <c r="P30" s="263"/>
      <c r="Q30" s="263"/>
      <c r="R30" s="44"/>
      <c r="S30" s="49">
        <f t="shared" si="7"/>
        <v>0</v>
      </c>
      <c r="T30" s="126"/>
      <c r="U30" s="48"/>
      <c r="V30" s="48"/>
      <c r="W30" s="48"/>
      <c r="X30" s="48"/>
      <c r="Y30" s="48"/>
      <c r="Z30" s="48"/>
      <c r="AA30" s="48"/>
      <c r="AB30" s="48"/>
      <c r="AC30" s="48"/>
      <c r="AD30" s="48"/>
      <c r="AE30" s="48"/>
      <c r="AF30" s="48"/>
      <c r="AG30" s="48"/>
      <c r="AH30" s="48"/>
      <c r="AI30" s="48"/>
      <c r="AJ30" s="48"/>
      <c r="AK30" s="44"/>
      <c r="AL30" s="44"/>
    </row>
    <row r="31" spans="1:38" x14ac:dyDescent="0.25">
      <c r="A31" s="94"/>
      <c r="B31" s="265" t="s">
        <v>756</v>
      </c>
      <c r="C31" s="266" t="s">
        <v>788</v>
      </c>
      <c r="D31" s="265" t="s">
        <v>40</v>
      </c>
      <c r="E31" s="265" t="s">
        <v>789</v>
      </c>
      <c r="F31" s="267" t="s">
        <v>359</v>
      </c>
      <c r="G31" s="277">
        <v>2.4</v>
      </c>
      <c r="H31" s="268">
        <f>I31+K31</f>
        <v>18188.59</v>
      </c>
      <c r="I31" s="287">
        <v>17793.98</v>
      </c>
      <c r="J31" s="268">
        <f t="shared" si="0"/>
        <v>22575.22</v>
      </c>
      <c r="K31" s="292">
        <v>394.61</v>
      </c>
      <c r="L31" s="268">
        <f t="shared" si="1"/>
        <v>500.64</v>
      </c>
      <c r="M31" s="268">
        <f t="shared" ref="M31" si="9">L31+J31</f>
        <v>23075.86</v>
      </c>
      <c r="N31" s="268">
        <f t="shared" ref="N31" si="10">J31*G31</f>
        <v>54180.53</v>
      </c>
      <c r="O31" s="268">
        <f t="shared" ref="O31" si="11">L31*G31</f>
        <v>1201.54</v>
      </c>
      <c r="P31" s="268">
        <f t="shared" ref="P31" si="12">O31+N31</f>
        <v>55382.07</v>
      </c>
      <c r="Q31" s="269">
        <f t="shared" si="6"/>
        <v>2.1899999999999999E-2</v>
      </c>
      <c r="R31" s="44"/>
      <c r="S31" s="49">
        <f t="shared" si="7"/>
        <v>43652.62</v>
      </c>
      <c r="T31" s="126"/>
      <c r="U31" s="48"/>
      <c r="V31" s="48"/>
      <c r="W31" s="48"/>
      <c r="X31" s="48"/>
      <c r="Y31" s="48"/>
      <c r="Z31" s="48"/>
      <c r="AA31" s="48"/>
      <c r="AB31" s="48"/>
      <c r="AC31" s="48"/>
      <c r="AD31" s="48"/>
      <c r="AE31" s="48"/>
      <c r="AF31" s="48"/>
      <c r="AG31" s="48"/>
      <c r="AH31" s="48"/>
      <c r="AI31" s="48"/>
      <c r="AJ31" s="48"/>
      <c r="AK31" s="44"/>
      <c r="AL31" s="44"/>
    </row>
    <row r="32" spans="1:38" x14ac:dyDescent="0.25">
      <c r="A32" s="94"/>
      <c r="B32" s="261" t="s">
        <v>42</v>
      </c>
      <c r="C32" s="261"/>
      <c r="D32" s="261"/>
      <c r="E32" s="261" t="s">
        <v>514</v>
      </c>
      <c r="F32" s="261"/>
      <c r="G32" s="276"/>
      <c r="H32" s="262"/>
      <c r="I32" s="286"/>
      <c r="J32" s="261"/>
      <c r="K32" s="291"/>
      <c r="L32" s="261"/>
      <c r="M32" s="261"/>
      <c r="N32" s="261"/>
      <c r="O32" s="261"/>
      <c r="P32" s="263"/>
      <c r="Q32" s="263"/>
      <c r="R32" s="44"/>
      <c r="S32" s="49">
        <f t="shared" si="7"/>
        <v>0</v>
      </c>
      <c r="T32" s="126"/>
      <c r="U32" s="48"/>
      <c r="V32" s="48"/>
      <c r="W32" s="48"/>
      <c r="X32" s="48"/>
      <c r="Y32" s="48"/>
      <c r="Z32" s="48"/>
      <c r="AA32" s="48"/>
      <c r="AB32" s="48"/>
      <c r="AC32" s="48"/>
      <c r="AD32" s="48"/>
      <c r="AE32" s="48"/>
      <c r="AF32" s="48"/>
      <c r="AG32" s="48"/>
      <c r="AH32" s="48"/>
      <c r="AI32" s="48"/>
      <c r="AJ32" s="48"/>
      <c r="AK32" s="44"/>
      <c r="AL32" s="44"/>
    </row>
    <row r="33" spans="1:38" x14ac:dyDescent="0.25">
      <c r="A33" s="94"/>
      <c r="B33" s="265" t="s">
        <v>515</v>
      </c>
      <c r="C33" s="266" t="s">
        <v>1445</v>
      </c>
      <c r="D33" s="265" t="s">
        <v>51</v>
      </c>
      <c r="E33" s="265" t="s">
        <v>1446</v>
      </c>
      <c r="F33" s="267" t="s">
        <v>44</v>
      </c>
      <c r="G33" s="277">
        <v>1</v>
      </c>
      <c r="H33" s="268">
        <v>4125.95</v>
      </c>
      <c r="I33" s="287">
        <f>H33</f>
        <v>4125.95</v>
      </c>
      <c r="J33" s="268">
        <f t="shared" si="0"/>
        <v>5234.59</v>
      </c>
      <c r="K33" s="292">
        <v>0</v>
      </c>
      <c r="L33" s="268">
        <f t="shared" si="1"/>
        <v>0</v>
      </c>
      <c r="M33" s="268">
        <f t="shared" ref="M33" si="13">L33+J33</f>
        <v>5234.59</v>
      </c>
      <c r="N33" s="268">
        <f t="shared" ref="N33" si="14">J33*G33</f>
        <v>5234.59</v>
      </c>
      <c r="O33" s="268">
        <f t="shared" ref="O33" si="15">L33*G33</f>
        <v>0</v>
      </c>
      <c r="P33" s="268">
        <f t="shared" ref="P33" si="16">O33+N33</f>
        <v>5234.59</v>
      </c>
      <c r="Q33" s="269">
        <f t="shared" si="6"/>
        <v>2.0999999999999999E-3</v>
      </c>
      <c r="R33" s="44"/>
      <c r="S33" s="49">
        <f t="shared" si="7"/>
        <v>4125.95</v>
      </c>
      <c r="T33" s="126"/>
      <c r="U33" s="48"/>
      <c r="V33" s="48"/>
      <c r="W33" s="48"/>
      <c r="X33" s="48"/>
      <c r="Y33" s="48"/>
      <c r="Z33" s="48"/>
      <c r="AA33" s="48"/>
      <c r="AB33" s="48"/>
      <c r="AC33" s="48"/>
      <c r="AD33" s="48"/>
      <c r="AE33" s="48"/>
      <c r="AF33" s="48"/>
      <c r="AG33" s="48"/>
      <c r="AH33" s="48"/>
      <c r="AI33" s="48"/>
      <c r="AJ33" s="48"/>
      <c r="AK33" s="44"/>
      <c r="AL33" s="44"/>
    </row>
    <row r="34" spans="1:38" x14ac:dyDescent="0.25">
      <c r="A34" s="94"/>
      <c r="B34" s="261" t="s">
        <v>786</v>
      </c>
      <c r="C34" s="261"/>
      <c r="D34" s="261"/>
      <c r="E34" s="261" t="s">
        <v>309</v>
      </c>
      <c r="F34" s="261"/>
      <c r="G34" s="276"/>
      <c r="H34" s="262"/>
      <c r="I34" s="286"/>
      <c r="J34" s="261"/>
      <c r="K34" s="291"/>
      <c r="L34" s="261"/>
      <c r="M34" s="261"/>
      <c r="N34" s="261"/>
      <c r="O34" s="261"/>
      <c r="P34" s="263"/>
      <c r="Q34" s="263"/>
      <c r="R34" s="44"/>
      <c r="S34" s="49">
        <f t="shared" si="7"/>
        <v>0</v>
      </c>
      <c r="T34" s="124"/>
      <c r="U34" s="48"/>
      <c r="V34" s="48"/>
      <c r="W34" s="48"/>
      <c r="X34" s="48"/>
      <c r="Y34" s="48"/>
      <c r="Z34" s="48"/>
      <c r="AA34" s="48"/>
      <c r="AB34" s="48"/>
      <c r="AC34" s="48"/>
      <c r="AD34" s="48"/>
      <c r="AE34" s="48"/>
      <c r="AF34" s="48"/>
      <c r="AG34" s="48"/>
      <c r="AH34" s="48"/>
      <c r="AI34" s="48"/>
      <c r="AJ34" s="48"/>
      <c r="AK34" s="44"/>
      <c r="AL34" s="44"/>
    </row>
    <row r="35" spans="1:38" ht="41.4" x14ac:dyDescent="0.25">
      <c r="A35" s="94"/>
      <c r="B35" s="265" t="s">
        <v>787</v>
      </c>
      <c r="C35" s="266" t="s">
        <v>310</v>
      </c>
      <c r="D35" s="265" t="s">
        <v>100</v>
      </c>
      <c r="E35" s="265" t="s">
        <v>311</v>
      </c>
      <c r="F35" s="267" t="s">
        <v>312</v>
      </c>
      <c r="G35" s="277">
        <v>668.16</v>
      </c>
      <c r="H35" s="268">
        <f>CPUS!L19</f>
        <v>28.06</v>
      </c>
      <c r="I35" s="287">
        <f>CPUS!H22</f>
        <v>12.09</v>
      </c>
      <c r="J35" s="268">
        <f t="shared" si="0"/>
        <v>15.34</v>
      </c>
      <c r="K35" s="292">
        <f>H35-I35</f>
        <v>15.97</v>
      </c>
      <c r="L35" s="268">
        <f t="shared" si="1"/>
        <v>20.260000000000002</v>
      </c>
      <c r="M35" s="268">
        <f t="shared" ref="M35" si="17">L35+J35</f>
        <v>35.6</v>
      </c>
      <c r="N35" s="268">
        <f t="shared" ref="N35" si="18">J35*G35</f>
        <v>10249.57</v>
      </c>
      <c r="O35" s="268">
        <f t="shared" ref="O35" si="19">L35*G35</f>
        <v>13536.92</v>
      </c>
      <c r="P35" s="268">
        <f t="shared" ref="P35" si="20">O35+N35</f>
        <v>23786.49</v>
      </c>
      <c r="Q35" s="269">
        <f t="shared" si="6"/>
        <v>9.4000000000000004E-3</v>
      </c>
      <c r="R35" s="44"/>
      <c r="S35" s="49">
        <f t="shared" si="7"/>
        <v>18748.57</v>
      </c>
      <c r="T35" s="126"/>
      <c r="U35" s="48"/>
      <c r="V35" s="48"/>
      <c r="W35" s="48"/>
      <c r="X35" s="48"/>
      <c r="Y35" s="48"/>
      <c r="Z35" s="48"/>
      <c r="AA35" s="48"/>
      <c r="AB35" s="48"/>
      <c r="AC35" s="48"/>
      <c r="AD35" s="48"/>
      <c r="AE35" s="48"/>
      <c r="AF35" s="48"/>
      <c r="AG35" s="48"/>
      <c r="AH35" s="48"/>
      <c r="AI35" s="48"/>
      <c r="AJ35" s="48"/>
      <c r="AK35" s="44"/>
      <c r="AL35" s="44"/>
    </row>
    <row r="36" spans="1:38" x14ac:dyDescent="0.25">
      <c r="A36" s="94"/>
      <c r="B36" s="261">
        <v>2</v>
      </c>
      <c r="C36" s="261"/>
      <c r="D36" s="261"/>
      <c r="E36" s="261" t="s">
        <v>52</v>
      </c>
      <c r="F36" s="261"/>
      <c r="G36" s="276"/>
      <c r="H36" s="262"/>
      <c r="I36" s="286"/>
      <c r="J36" s="261"/>
      <c r="K36" s="291"/>
      <c r="L36" s="261"/>
      <c r="M36" s="261"/>
      <c r="N36" s="261"/>
      <c r="O36" s="261"/>
      <c r="P36" s="263"/>
      <c r="Q36" s="263"/>
      <c r="R36" s="44"/>
      <c r="S36" s="49">
        <f t="shared" si="7"/>
        <v>0</v>
      </c>
      <c r="T36" s="126"/>
      <c r="U36" s="48"/>
      <c r="V36" s="48"/>
      <c r="W36" s="48"/>
      <c r="X36" s="48"/>
      <c r="Y36" s="48"/>
      <c r="Z36" s="48"/>
      <c r="AA36" s="48"/>
      <c r="AB36" s="48"/>
      <c r="AC36" s="48"/>
      <c r="AD36" s="48"/>
      <c r="AE36" s="48"/>
      <c r="AF36" s="48"/>
      <c r="AG36" s="48"/>
      <c r="AH36" s="48"/>
      <c r="AI36" s="48"/>
      <c r="AJ36" s="48"/>
      <c r="AK36" s="44"/>
      <c r="AL36" s="44"/>
    </row>
    <row r="37" spans="1:38" ht="27.6" x14ac:dyDescent="0.25">
      <c r="A37" s="94"/>
      <c r="B37" s="265" t="s">
        <v>53</v>
      </c>
      <c r="C37" s="266" t="s">
        <v>54</v>
      </c>
      <c r="D37" s="265" t="s">
        <v>40</v>
      </c>
      <c r="E37" s="265" t="s">
        <v>987</v>
      </c>
      <c r="F37" s="267" t="s">
        <v>55</v>
      </c>
      <c r="G37" s="277">
        <v>135.65</v>
      </c>
      <c r="H37" s="268">
        <f>I37+K37</f>
        <v>59.16</v>
      </c>
      <c r="I37" s="287">
        <v>24.98</v>
      </c>
      <c r="J37" s="268">
        <f t="shared" si="0"/>
        <v>31.69</v>
      </c>
      <c r="K37" s="292">
        <v>34.18</v>
      </c>
      <c r="L37" s="268">
        <f t="shared" si="1"/>
        <v>43.36</v>
      </c>
      <c r="M37" s="268">
        <f t="shared" ref="M37" si="21">L37+J37</f>
        <v>75.05</v>
      </c>
      <c r="N37" s="268">
        <f t="shared" ref="N37" si="22">J37*G37</f>
        <v>4298.75</v>
      </c>
      <c r="O37" s="268">
        <f t="shared" ref="O37" si="23">L37*G37</f>
        <v>5881.78</v>
      </c>
      <c r="P37" s="268">
        <f t="shared" ref="P37" si="24">O37+N37</f>
        <v>10180.530000000001</v>
      </c>
      <c r="Q37" s="269">
        <f t="shared" si="6"/>
        <v>4.0000000000000001E-3</v>
      </c>
      <c r="R37" s="44"/>
      <c r="S37" s="49">
        <f t="shared" si="7"/>
        <v>8025.05</v>
      </c>
      <c r="T37" s="126"/>
      <c r="U37" s="48"/>
      <c r="V37" s="48"/>
      <c r="W37" s="48"/>
      <c r="X37" s="48"/>
      <c r="Y37" s="48"/>
      <c r="Z37" s="48"/>
      <c r="AA37" s="48"/>
      <c r="AB37" s="48"/>
      <c r="AC37" s="48"/>
      <c r="AD37" s="48"/>
      <c r="AE37" s="48"/>
      <c r="AF37" s="48"/>
      <c r="AG37" s="48"/>
      <c r="AH37" s="48"/>
      <c r="AI37" s="48"/>
      <c r="AJ37" s="48"/>
      <c r="AK37" s="44"/>
      <c r="AL37" s="44"/>
    </row>
    <row r="38" spans="1:38" ht="41.4" x14ac:dyDescent="0.25">
      <c r="A38" s="94"/>
      <c r="B38" s="265" t="s">
        <v>56</v>
      </c>
      <c r="C38" s="266" t="s">
        <v>1360</v>
      </c>
      <c r="D38" s="265" t="s">
        <v>40</v>
      </c>
      <c r="E38" s="265" t="s">
        <v>1361</v>
      </c>
      <c r="F38" s="267" t="s">
        <v>59</v>
      </c>
      <c r="G38" s="277">
        <v>190.69</v>
      </c>
      <c r="H38" s="268">
        <f t="shared" ref="H38:H51" si="25">I38+K38</f>
        <v>12.36</v>
      </c>
      <c r="I38" s="287">
        <v>3.76</v>
      </c>
      <c r="J38" s="268">
        <f t="shared" si="0"/>
        <v>4.7699999999999996</v>
      </c>
      <c r="K38" s="292">
        <f>5.17+3.43</f>
        <v>8.6</v>
      </c>
      <c r="L38" s="268">
        <f t="shared" si="1"/>
        <v>10.91</v>
      </c>
      <c r="M38" s="268">
        <f t="shared" ref="M38:M52" si="26">L38+J38</f>
        <v>15.68</v>
      </c>
      <c r="N38" s="268">
        <f t="shared" ref="N38:N52" si="27">J38*G38</f>
        <v>909.59</v>
      </c>
      <c r="O38" s="268">
        <f t="shared" ref="O38:O52" si="28">L38*G38</f>
        <v>2080.4299999999998</v>
      </c>
      <c r="P38" s="268">
        <f t="shared" ref="P38:P52" si="29">O38+N38</f>
        <v>2990.02</v>
      </c>
      <c r="Q38" s="269">
        <f t="shared" si="6"/>
        <v>1.1999999999999999E-3</v>
      </c>
      <c r="R38" s="44"/>
      <c r="S38" s="49">
        <f t="shared" si="7"/>
        <v>2356.9299999999998</v>
      </c>
      <c r="T38" s="126"/>
      <c r="U38" s="48"/>
      <c r="V38" s="48"/>
      <c r="W38" s="48"/>
      <c r="X38" s="48"/>
      <c r="Y38" s="48"/>
      <c r="Z38" s="48"/>
      <c r="AA38" s="48"/>
      <c r="AB38" s="48"/>
      <c r="AC38" s="48"/>
      <c r="AD38" s="48"/>
      <c r="AE38" s="48"/>
      <c r="AF38" s="48"/>
      <c r="AG38" s="48"/>
      <c r="AH38" s="48"/>
      <c r="AI38" s="48"/>
      <c r="AJ38" s="48"/>
      <c r="AK38" s="44"/>
      <c r="AL38" s="44"/>
    </row>
    <row r="39" spans="1:38" x14ac:dyDescent="0.25">
      <c r="A39" s="94"/>
      <c r="B39" s="265" t="s">
        <v>60</v>
      </c>
      <c r="C39" s="266" t="s">
        <v>57</v>
      </c>
      <c r="D39" s="265" t="s">
        <v>40</v>
      </c>
      <c r="E39" s="265" t="s">
        <v>58</v>
      </c>
      <c r="F39" s="267" t="s">
        <v>59</v>
      </c>
      <c r="G39" s="277">
        <v>47.67</v>
      </c>
      <c r="H39" s="268">
        <f t="shared" si="25"/>
        <v>74.400000000000006</v>
      </c>
      <c r="I39" s="287">
        <v>55.12</v>
      </c>
      <c r="J39" s="268">
        <f t="shared" si="0"/>
        <v>69.930000000000007</v>
      </c>
      <c r="K39" s="292">
        <v>19.28</v>
      </c>
      <c r="L39" s="268">
        <f t="shared" si="1"/>
        <v>24.46</v>
      </c>
      <c r="M39" s="268">
        <f t="shared" si="26"/>
        <v>94.39</v>
      </c>
      <c r="N39" s="268">
        <f t="shared" si="27"/>
        <v>3333.56</v>
      </c>
      <c r="O39" s="268">
        <f t="shared" si="28"/>
        <v>1166.01</v>
      </c>
      <c r="P39" s="268">
        <f t="shared" si="29"/>
        <v>4499.57</v>
      </c>
      <c r="Q39" s="269">
        <f t="shared" si="6"/>
        <v>1.8E-3</v>
      </c>
      <c r="R39" s="44"/>
      <c r="S39" s="49">
        <f t="shared" si="7"/>
        <v>3546.65</v>
      </c>
      <c r="T39" s="126"/>
      <c r="U39" s="48"/>
      <c r="V39" s="48"/>
      <c r="W39" s="48"/>
      <c r="X39" s="48"/>
      <c r="Y39" s="48"/>
      <c r="Z39" s="48"/>
      <c r="AA39" s="48"/>
      <c r="AB39" s="48"/>
      <c r="AC39" s="48"/>
      <c r="AD39" s="48"/>
      <c r="AE39" s="48"/>
      <c r="AF39" s="48"/>
      <c r="AG39" s="48"/>
      <c r="AH39" s="48"/>
      <c r="AI39" s="48"/>
      <c r="AJ39" s="48"/>
      <c r="AK39" s="44"/>
      <c r="AL39" s="44"/>
    </row>
    <row r="40" spans="1:38" ht="27.6" x14ac:dyDescent="0.25">
      <c r="A40" s="94"/>
      <c r="B40" s="265" t="s">
        <v>61</v>
      </c>
      <c r="C40" s="266" t="s">
        <v>1345</v>
      </c>
      <c r="D40" s="265" t="s">
        <v>40</v>
      </c>
      <c r="E40" s="265" t="s">
        <v>1346</v>
      </c>
      <c r="F40" s="267" t="s">
        <v>59</v>
      </c>
      <c r="G40" s="277">
        <v>63.85</v>
      </c>
      <c r="H40" s="268">
        <f t="shared" si="25"/>
        <v>169.39</v>
      </c>
      <c r="I40" s="287">
        <v>38.07</v>
      </c>
      <c r="J40" s="268">
        <f t="shared" si="0"/>
        <v>48.3</v>
      </c>
      <c r="K40" s="292">
        <v>131.32</v>
      </c>
      <c r="L40" s="268">
        <f t="shared" si="1"/>
        <v>166.61</v>
      </c>
      <c r="M40" s="268">
        <f t="shared" si="26"/>
        <v>214.91</v>
      </c>
      <c r="N40" s="268">
        <f t="shared" si="27"/>
        <v>3083.96</v>
      </c>
      <c r="O40" s="268">
        <f t="shared" si="28"/>
        <v>10638.05</v>
      </c>
      <c r="P40" s="268">
        <f t="shared" si="29"/>
        <v>13722.01</v>
      </c>
      <c r="Q40" s="269">
        <f t="shared" si="6"/>
        <v>5.4000000000000003E-3</v>
      </c>
      <c r="R40" s="44"/>
      <c r="S40" s="49">
        <f t="shared" si="7"/>
        <v>10815.55</v>
      </c>
      <c r="T40" s="126"/>
      <c r="U40" s="48"/>
      <c r="V40" s="48"/>
      <c r="W40" s="48"/>
      <c r="X40" s="48"/>
      <c r="Y40" s="48"/>
      <c r="Z40" s="48"/>
      <c r="AA40" s="48"/>
      <c r="AB40" s="48"/>
      <c r="AC40" s="48"/>
      <c r="AD40" s="48"/>
      <c r="AE40" s="48"/>
      <c r="AF40" s="48"/>
      <c r="AG40" s="48"/>
      <c r="AH40" s="48"/>
      <c r="AI40" s="48"/>
      <c r="AJ40" s="48"/>
      <c r="AK40" s="44"/>
      <c r="AL40" s="44"/>
    </row>
    <row r="41" spans="1:38" ht="27.6" x14ac:dyDescent="0.25">
      <c r="A41" s="94"/>
      <c r="B41" s="265" t="s">
        <v>62</v>
      </c>
      <c r="C41" s="266" t="s">
        <v>1183</v>
      </c>
      <c r="D41" s="265" t="s">
        <v>40</v>
      </c>
      <c r="E41" s="265" t="s">
        <v>1184</v>
      </c>
      <c r="F41" s="267" t="s">
        <v>41</v>
      </c>
      <c r="G41" s="277">
        <v>465.2</v>
      </c>
      <c r="H41" s="268">
        <f t="shared" si="25"/>
        <v>75.61</v>
      </c>
      <c r="I41" s="287">
        <v>34.17</v>
      </c>
      <c r="J41" s="268">
        <f t="shared" si="0"/>
        <v>43.35</v>
      </c>
      <c r="K41" s="292">
        <f>41.43+0.01</f>
        <v>41.44</v>
      </c>
      <c r="L41" s="268">
        <f t="shared" si="1"/>
        <v>52.57</v>
      </c>
      <c r="M41" s="268">
        <f t="shared" si="26"/>
        <v>95.92</v>
      </c>
      <c r="N41" s="268">
        <f t="shared" si="27"/>
        <v>20166.419999999998</v>
      </c>
      <c r="O41" s="268">
        <f t="shared" si="28"/>
        <v>24455.56</v>
      </c>
      <c r="P41" s="268">
        <f t="shared" si="29"/>
        <v>44621.98</v>
      </c>
      <c r="Q41" s="269">
        <f t="shared" si="6"/>
        <v>1.7600000000000001E-2</v>
      </c>
      <c r="R41" s="44"/>
      <c r="S41" s="49">
        <f t="shared" si="7"/>
        <v>35173.769999999997</v>
      </c>
      <c r="T41" s="126"/>
      <c r="U41" s="48"/>
      <c r="V41" s="48"/>
      <c r="W41" s="48"/>
      <c r="X41" s="48"/>
      <c r="Y41" s="48"/>
      <c r="Z41" s="48"/>
      <c r="AA41" s="48"/>
      <c r="AB41" s="48"/>
      <c r="AC41" s="48"/>
      <c r="AD41" s="48"/>
      <c r="AE41" s="48"/>
      <c r="AF41" s="48"/>
      <c r="AG41" s="48"/>
      <c r="AH41" s="48"/>
      <c r="AI41" s="48"/>
      <c r="AJ41" s="48"/>
      <c r="AK41" s="44"/>
      <c r="AL41" s="44"/>
    </row>
    <row r="42" spans="1:38" x14ac:dyDescent="0.25">
      <c r="A42" s="94"/>
      <c r="B42" s="265" t="s">
        <v>63</v>
      </c>
      <c r="C42" s="266" t="s">
        <v>64</v>
      </c>
      <c r="D42" s="265" t="s">
        <v>40</v>
      </c>
      <c r="E42" s="265" t="s">
        <v>988</v>
      </c>
      <c r="F42" s="267" t="s">
        <v>65</v>
      </c>
      <c r="G42" s="277">
        <v>536</v>
      </c>
      <c r="H42" s="268">
        <f t="shared" si="25"/>
        <v>18.850000000000001</v>
      </c>
      <c r="I42" s="287">
        <v>7.25</v>
      </c>
      <c r="J42" s="268">
        <f t="shared" si="0"/>
        <v>9.1999999999999993</v>
      </c>
      <c r="K42" s="292">
        <v>11.6</v>
      </c>
      <c r="L42" s="268">
        <f t="shared" si="1"/>
        <v>14.72</v>
      </c>
      <c r="M42" s="268">
        <f t="shared" si="26"/>
        <v>23.92</v>
      </c>
      <c r="N42" s="268">
        <f t="shared" si="27"/>
        <v>4931.2</v>
      </c>
      <c r="O42" s="268">
        <f t="shared" si="28"/>
        <v>7889.92</v>
      </c>
      <c r="P42" s="268">
        <f t="shared" si="29"/>
        <v>12821.12</v>
      </c>
      <c r="Q42" s="269">
        <f t="shared" si="6"/>
        <v>5.1000000000000004E-3</v>
      </c>
      <c r="R42" s="44"/>
      <c r="S42" s="49">
        <f t="shared" si="7"/>
        <v>10103.6</v>
      </c>
      <c r="T42" s="126"/>
      <c r="U42" s="48"/>
      <c r="V42" s="48"/>
      <c r="W42" s="48"/>
      <c r="X42" s="48"/>
      <c r="Y42" s="48"/>
      <c r="Z42" s="48"/>
      <c r="AA42" s="48"/>
      <c r="AB42" s="48"/>
      <c r="AC42" s="48"/>
      <c r="AD42" s="48"/>
      <c r="AE42" s="48"/>
      <c r="AF42" s="48"/>
      <c r="AG42" s="48"/>
      <c r="AH42" s="48"/>
      <c r="AI42" s="48"/>
      <c r="AJ42" s="48"/>
      <c r="AK42" s="44"/>
      <c r="AL42" s="44"/>
    </row>
    <row r="43" spans="1:38" x14ac:dyDescent="0.25">
      <c r="A43" s="94"/>
      <c r="B43" s="265" t="s">
        <v>66</v>
      </c>
      <c r="C43" s="266" t="s">
        <v>757</v>
      </c>
      <c r="D43" s="265" t="s">
        <v>40</v>
      </c>
      <c r="E43" s="265" t="s">
        <v>989</v>
      </c>
      <c r="F43" s="267" t="s">
        <v>65</v>
      </c>
      <c r="G43" s="277">
        <v>41.3</v>
      </c>
      <c r="H43" s="268">
        <f t="shared" si="25"/>
        <v>17.350000000000001</v>
      </c>
      <c r="I43" s="287">
        <v>5.33</v>
      </c>
      <c r="J43" s="268">
        <f t="shared" si="0"/>
        <v>6.76</v>
      </c>
      <c r="K43" s="292">
        <v>12.02</v>
      </c>
      <c r="L43" s="268">
        <f t="shared" si="1"/>
        <v>15.25</v>
      </c>
      <c r="M43" s="268">
        <f t="shared" si="26"/>
        <v>22.01</v>
      </c>
      <c r="N43" s="268">
        <f t="shared" si="27"/>
        <v>279.19</v>
      </c>
      <c r="O43" s="268">
        <f t="shared" si="28"/>
        <v>629.83000000000004</v>
      </c>
      <c r="P43" s="268">
        <f t="shared" si="29"/>
        <v>909.02</v>
      </c>
      <c r="Q43" s="269">
        <f t="shared" si="6"/>
        <v>4.0000000000000002E-4</v>
      </c>
      <c r="R43" s="44"/>
      <c r="S43" s="49">
        <f t="shared" si="7"/>
        <v>716.56</v>
      </c>
      <c r="T43" s="126"/>
      <c r="U43" s="48"/>
      <c r="V43" s="48"/>
      <c r="W43" s="48"/>
      <c r="X43" s="48"/>
      <c r="Y43" s="48"/>
      <c r="Z43" s="48"/>
      <c r="AA43" s="48"/>
      <c r="AB43" s="48"/>
      <c r="AC43" s="48"/>
      <c r="AD43" s="48"/>
      <c r="AE43" s="48"/>
      <c r="AF43" s="48"/>
      <c r="AG43" s="48"/>
      <c r="AH43" s="48"/>
      <c r="AI43" s="48"/>
      <c r="AJ43" s="48"/>
      <c r="AK43" s="44"/>
      <c r="AL43" s="44"/>
    </row>
    <row r="44" spans="1:38" x14ac:dyDescent="0.25">
      <c r="A44" s="94"/>
      <c r="B44" s="265" t="s">
        <v>67</v>
      </c>
      <c r="C44" s="266" t="s">
        <v>68</v>
      </c>
      <c r="D44" s="265" t="s">
        <v>40</v>
      </c>
      <c r="E44" s="265" t="s">
        <v>990</v>
      </c>
      <c r="F44" s="267" t="s">
        <v>65</v>
      </c>
      <c r="G44" s="277">
        <v>395.2</v>
      </c>
      <c r="H44" s="268">
        <f t="shared" si="25"/>
        <v>15.9</v>
      </c>
      <c r="I44" s="287">
        <v>3.9</v>
      </c>
      <c r="J44" s="268">
        <f t="shared" si="0"/>
        <v>4.95</v>
      </c>
      <c r="K44" s="292">
        <v>12</v>
      </c>
      <c r="L44" s="268">
        <f t="shared" si="1"/>
        <v>15.22</v>
      </c>
      <c r="M44" s="268">
        <f t="shared" si="26"/>
        <v>20.170000000000002</v>
      </c>
      <c r="N44" s="268">
        <f t="shared" si="27"/>
        <v>1956.24</v>
      </c>
      <c r="O44" s="268">
        <f t="shared" si="28"/>
        <v>6014.94</v>
      </c>
      <c r="P44" s="268">
        <f t="shared" si="29"/>
        <v>7971.18</v>
      </c>
      <c r="Q44" s="269">
        <f t="shared" si="6"/>
        <v>3.2000000000000002E-3</v>
      </c>
      <c r="R44" s="44"/>
      <c r="S44" s="49">
        <f t="shared" si="7"/>
        <v>6283.68</v>
      </c>
      <c r="T44" s="126"/>
      <c r="U44" s="48"/>
      <c r="V44" s="48"/>
      <c r="W44" s="48"/>
      <c r="X44" s="48"/>
      <c r="Y44" s="48"/>
      <c r="Z44" s="48"/>
      <c r="AA44" s="48"/>
      <c r="AB44" s="48"/>
      <c r="AC44" s="48"/>
      <c r="AD44" s="48"/>
      <c r="AE44" s="48"/>
      <c r="AF44" s="48"/>
      <c r="AG44" s="48"/>
      <c r="AH44" s="48"/>
      <c r="AI44" s="48"/>
      <c r="AJ44" s="48"/>
      <c r="AK44" s="44"/>
      <c r="AL44" s="44"/>
    </row>
    <row r="45" spans="1:38" x14ac:dyDescent="0.25">
      <c r="A45" s="94"/>
      <c r="B45" s="265" t="s">
        <v>69</v>
      </c>
      <c r="C45" s="266" t="s">
        <v>70</v>
      </c>
      <c r="D45" s="265" t="s">
        <v>40</v>
      </c>
      <c r="E45" s="265" t="s">
        <v>991</v>
      </c>
      <c r="F45" s="267" t="s">
        <v>65</v>
      </c>
      <c r="G45" s="277">
        <v>2221</v>
      </c>
      <c r="H45" s="268">
        <f t="shared" si="25"/>
        <v>14.03</v>
      </c>
      <c r="I45" s="287">
        <v>2.93</v>
      </c>
      <c r="J45" s="268">
        <f t="shared" si="0"/>
        <v>3.72</v>
      </c>
      <c r="K45" s="292">
        <v>11.1</v>
      </c>
      <c r="L45" s="268">
        <f t="shared" si="1"/>
        <v>14.08</v>
      </c>
      <c r="M45" s="268">
        <f t="shared" si="26"/>
        <v>17.8</v>
      </c>
      <c r="N45" s="268">
        <f t="shared" si="27"/>
        <v>8262.1200000000008</v>
      </c>
      <c r="O45" s="268">
        <f t="shared" si="28"/>
        <v>31271.68</v>
      </c>
      <c r="P45" s="268">
        <f t="shared" si="29"/>
        <v>39533.800000000003</v>
      </c>
      <c r="Q45" s="269">
        <f t="shared" si="6"/>
        <v>1.5599999999999999E-2</v>
      </c>
      <c r="R45" s="44"/>
      <c r="S45" s="49">
        <f t="shared" si="7"/>
        <v>31160.63</v>
      </c>
      <c r="T45" s="126"/>
      <c r="U45" s="48"/>
      <c r="V45" s="48"/>
      <c r="W45" s="48"/>
      <c r="X45" s="48"/>
      <c r="Y45" s="48"/>
      <c r="Z45" s="48"/>
      <c r="AA45" s="48"/>
      <c r="AB45" s="48"/>
      <c r="AC45" s="48"/>
      <c r="AD45" s="48"/>
      <c r="AE45" s="48"/>
      <c r="AF45" s="48"/>
      <c r="AG45" s="48"/>
      <c r="AH45" s="48"/>
      <c r="AI45" s="48"/>
      <c r="AJ45" s="48"/>
      <c r="AK45" s="44"/>
      <c r="AL45" s="44"/>
    </row>
    <row r="46" spans="1:38" ht="27.6" x14ac:dyDescent="0.25">
      <c r="A46" s="94"/>
      <c r="B46" s="265" t="s">
        <v>71</v>
      </c>
      <c r="C46" s="266" t="s">
        <v>992</v>
      </c>
      <c r="D46" s="265" t="s">
        <v>40</v>
      </c>
      <c r="E46" s="265" t="s">
        <v>993</v>
      </c>
      <c r="F46" s="267" t="s">
        <v>65</v>
      </c>
      <c r="G46" s="277">
        <v>425.3</v>
      </c>
      <c r="H46" s="268">
        <f t="shared" si="25"/>
        <v>11.01</v>
      </c>
      <c r="I46" s="287">
        <v>1.62</v>
      </c>
      <c r="J46" s="268">
        <f t="shared" si="0"/>
        <v>2.06</v>
      </c>
      <c r="K46" s="292">
        <v>9.39</v>
      </c>
      <c r="L46" s="268">
        <f t="shared" si="1"/>
        <v>11.91</v>
      </c>
      <c r="M46" s="268">
        <f t="shared" si="26"/>
        <v>13.97</v>
      </c>
      <c r="N46" s="268">
        <f t="shared" si="27"/>
        <v>876.12</v>
      </c>
      <c r="O46" s="268">
        <f t="shared" si="28"/>
        <v>5065.32</v>
      </c>
      <c r="P46" s="268">
        <f t="shared" si="29"/>
        <v>5941.44</v>
      </c>
      <c r="Q46" s="269">
        <f t="shared" si="6"/>
        <v>2.3E-3</v>
      </c>
      <c r="R46" s="44"/>
      <c r="S46" s="49">
        <f t="shared" si="7"/>
        <v>4682.55</v>
      </c>
      <c r="T46" s="126"/>
      <c r="U46" s="48"/>
      <c r="V46" s="48"/>
      <c r="W46" s="48"/>
      <c r="X46" s="48"/>
      <c r="Y46" s="48"/>
      <c r="Z46" s="48"/>
      <c r="AA46" s="48"/>
      <c r="AB46" s="48"/>
      <c r="AC46" s="48"/>
      <c r="AD46" s="48"/>
      <c r="AE46" s="48"/>
      <c r="AF46" s="48"/>
      <c r="AG46" s="48"/>
      <c r="AH46" s="48"/>
      <c r="AI46" s="48"/>
      <c r="AJ46" s="48"/>
      <c r="AK46" s="44"/>
      <c r="AL46" s="44"/>
    </row>
    <row r="47" spans="1:38" ht="27.6" x14ac:dyDescent="0.25">
      <c r="A47" s="94"/>
      <c r="B47" s="265" t="s">
        <v>72</v>
      </c>
      <c r="C47" s="266" t="s">
        <v>994</v>
      </c>
      <c r="D47" s="265" t="s">
        <v>40</v>
      </c>
      <c r="E47" s="265" t="s">
        <v>995</v>
      </c>
      <c r="F47" s="267" t="s">
        <v>65</v>
      </c>
      <c r="G47" s="277">
        <v>531.5</v>
      </c>
      <c r="H47" s="268">
        <f t="shared" si="25"/>
        <v>11.66</v>
      </c>
      <c r="I47" s="287">
        <v>0.93</v>
      </c>
      <c r="J47" s="268">
        <f t="shared" si="0"/>
        <v>1.18</v>
      </c>
      <c r="K47" s="292">
        <v>10.73</v>
      </c>
      <c r="L47" s="268">
        <f t="shared" si="1"/>
        <v>13.61</v>
      </c>
      <c r="M47" s="268">
        <f t="shared" si="26"/>
        <v>14.79</v>
      </c>
      <c r="N47" s="268">
        <f t="shared" si="27"/>
        <v>627.16999999999996</v>
      </c>
      <c r="O47" s="268">
        <f t="shared" si="28"/>
        <v>7233.72</v>
      </c>
      <c r="P47" s="268">
        <f t="shared" si="29"/>
        <v>7860.89</v>
      </c>
      <c r="Q47" s="269">
        <f t="shared" si="6"/>
        <v>3.0999999999999999E-3</v>
      </c>
      <c r="R47" s="44"/>
      <c r="S47" s="49">
        <f t="shared" si="7"/>
        <v>6197.29</v>
      </c>
      <c r="T47" s="126"/>
      <c r="U47" s="48"/>
      <c r="V47" s="48"/>
      <c r="W47" s="48"/>
      <c r="X47" s="48"/>
      <c r="Y47" s="48"/>
      <c r="Z47" s="48"/>
      <c r="AA47" s="48"/>
      <c r="AB47" s="48"/>
      <c r="AC47" s="48"/>
      <c r="AD47" s="48"/>
      <c r="AE47" s="48"/>
      <c r="AF47" s="48"/>
      <c r="AG47" s="48"/>
      <c r="AH47" s="48"/>
      <c r="AI47" s="48"/>
      <c r="AJ47" s="44"/>
      <c r="AK47" s="44"/>
      <c r="AL47" s="44"/>
    </row>
    <row r="48" spans="1:38" ht="27.6" x14ac:dyDescent="0.25">
      <c r="A48" s="94"/>
      <c r="B48" s="265" t="s">
        <v>73</v>
      </c>
      <c r="C48" s="266" t="s">
        <v>1423</v>
      </c>
      <c r="D48" s="265" t="s">
        <v>40</v>
      </c>
      <c r="E48" s="265" t="s">
        <v>1424</v>
      </c>
      <c r="F48" s="267" t="s">
        <v>59</v>
      </c>
      <c r="G48" s="277">
        <v>76.2</v>
      </c>
      <c r="H48" s="268">
        <f t="shared" si="25"/>
        <v>674.09</v>
      </c>
      <c r="I48" s="287">
        <v>13.14</v>
      </c>
      <c r="J48" s="268">
        <f t="shared" si="0"/>
        <v>16.670000000000002</v>
      </c>
      <c r="K48" s="292">
        <f>0.09+660.82+0.04</f>
        <v>660.95</v>
      </c>
      <c r="L48" s="268">
        <f t="shared" si="1"/>
        <v>838.55</v>
      </c>
      <c r="M48" s="268">
        <f t="shared" si="26"/>
        <v>855.22</v>
      </c>
      <c r="N48" s="268">
        <f t="shared" si="27"/>
        <v>1270.25</v>
      </c>
      <c r="O48" s="268">
        <f t="shared" si="28"/>
        <v>63897.51</v>
      </c>
      <c r="P48" s="268">
        <f t="shared" si="29"/>
        <v>65167.76</v>
      </c>
      <c r="Q48" s="269">
        <f t="shared" si="6"/>
        <v>2.58E-2</v>
      </c>
      <c r="R48" s="44"/>
      <c r="S48" s="49">
        <f t="shared" si="7"/>
        <v>51365.66</v>
      </c>
      <c r="T48" s="126"/>
      <c r="U48" s="48"/>
      <c r="V48" s="48"/>
      <c r="W48" s="48"/>
      <c r="X48" s="48"/>
      <c r="Y48" s="48"/>
      <c r="Z48" s="48"/>
      <c r="AA48" s="48"/>
      <c r="AB48" s="48"/>
      <c r="AC48" s="48"/>
      <c r="AD48" s="48"/>
      <c r="AE48" s="48"/>
      <c r="AF48" s="48"/>
      <c r="AG48" s="48"/>
      <c r="AH48" s="48"/>
      <c r="AI48" s="48"/>
      <c r="AJ48" s="44"/>
      <c r="AK48" s="44"/>
      <c r="AL48" s="44"/>
    </row>
    <row r="49" spans="1:38" x14ac:dyDescent="0.25">
      <c r="A49" s="94"/>
      <c r="B49" s="265" t="s">
        <v>74</v>
      </c>
      <c r="C49" s="266" t="s">
        <v>75</v>
      </c>
      <c r="D49" s="265" t="s">
        <v>40</v>
      </c>
      <c r="E49" s="265" t="s">
        <v>76</v>
      </c>
      <c r="F49" s="267" t="s">
        <v>59</v>
      </c>
      <c r="G49" s="277">
        <v>347.81</v>
      </c>
      <c r="H49" s="268">
        <f t="shared" si="25"/>
        <v>1.34</v>
      </c>
      <c r="I49" s="287">
        <v>0.28000000000000003</v>
      </c>
      <c r="J49" s="268">
        <f t="shared" si="0"/>
        <v>0.36</v>
      </c>
      <c r="K49" s="292">
        <f>0.78+0.28</f>
        <v>1.06</v>
      </c>
      <c r="L49" s="268">
        <f t="shared" si="1"/>
        <v>1.34</v>
      </c>
      <c r="M49" s="268">
        <f t="shared" si="26"/>
        <v>1.7</v>
      </c>
      <c r="N49" s="268">
        <f t="shared" si="27"/>
        <v>125.21</v>
      </c>
      <c r="O49" s="268">
        <f t="shared" si="28"/>
        <v>466.07</v>
      </c>
      <c r="P49" s="268">
        <f t="shared" si="29"/>
        <v>591.28</v>
      </c>
      <c r="Q49" s="269">
        <f t="shared" si="6"/>
        <v>2.0000000000000001E-4</v>
      </c>
      <c r="R49" s="44"/>
      <c r="S49" s="49">
        <f t="shared" si="7"/>
        <v>466.07</v>
      </c>
      <c r="T49" s="85"/>
      <c r="U49" s="48"/>
      <c r="V49" s="48"/>
      <c r="W49" s="48"/>
      <c r="X49" s="48"/>
      <c r="Y49" s="48"/>
      <c r="Z49" s="48"/>
      <c r="AA49" s="48"/>
      <c r="AB49" s="48"/>
      <c r="AC49" s="48"/>
      <c r="AD49" s="48"/>
      <c r="AE49" s="48"/>
      <c r="AF49" s="48"/>
      <c r="AG49" s="48"/>
      <c r="AH49" s="48"/>
      <c r="AI49" s="48"/>
      <c r="AJ49" s="44"/>
      <c r="AK49" s="44"/>
      <c r="AL49" s="44"/>
    </row>
    <row r="50" spans="1:38" x14ac:dyDescent="0.25">
      <c r="A50" s="94"/>
      <c r="B50" s="265" t="s">
        <v>758</v>
      </c>
      <c r="C50" s="266" t="s">
        <v>77</v>
      </c>
      <c r="D50" s="265" t="s">
        <v>40</v>
      </c>
      <c r="E50" s="265" t="s">
        <v>78</v>
      </c>
      <c r="F50" s="267" t="s">
        <v>59</v>
      </c>
      <c r="G50" s="277">
        <v>284.54000000000002</v>
      </c>
      <c r="H50" s="268">
        <f t="shared" si="25"/>
        <v>125.86</v>
      </c>
      <c r="I50" s="287">
        <v>8.74</v>
      </c>
      <c r="J50" s="268">
        <f t="shared" si="0"/>
        <v>11.09</v>
      </c>
      <c r="K50" s="292">
        <f>110.18+6.94</f>
        <v>117.12</v>
      </c>
      <c r="L50" s="268">
        <f t="shared" si="1"/>
        <v>148.59</v>
      </c>
      <c r="M50" s="268">
        <f t="shared" si="26"/>
        <v>159.68</v>
      </c>
      <c r="N50" s="268">
        <f t="shared" si="27"/>
        <v>3155.55</v>
      </c>
      <c r="O50" s="268">
        <f t="shared" si="28"/>
        <v>42279.8</v>
      </c>
      <c r="P50" s="268">
        <f t="shared" si="29"/>
        <v>45435.35</v>
      </c>
      <c r="Q50" s="269">
        <f t="shared" si="6"/>
        <v>1.7999999999999999E-2</v>
      </c>
      <c r="R50" s="44"/>
      <c r="S50" s="49">
        <f t="shared" si="7"/>
        <v>35812.199999999997</v>
      </c>
      <c r="T50" s="126"/>
      <c r="U50" s="48"/>
      <c r="V50" s="48"/>
      <c r="W50" s="48"/>
      <c r="X50" s="48"/>
      <c r="Y50" s="48"/>
      <c r="Z50" s="48"/>
      <c r="AA50" s="48"/>
      <c r="AB50" s="48"/>
      <c r="AC50" s="48"/>
      <c r="AD50" s="48"/>
      <c r="AE50" s="48"/>
      <c r="AF50" s="48"/>
      <c r="AG50" s="48"/>
      <c r="AH50" s="48"/>
      <c r="AI50" s="48"/>
      <c r="AJ50" s="44"/>
      <c r="AK50" s="44"/>
      <c r="AL50" s="44"/>
    </row>
    <row r="51" spans="1:38" x14ac:dyDescent="0.25">
      <c r="A51" s="94"/>
      <c r="B51" s="265" t="s">
        <v>759</v>
      </c>
      <c r="C51" s="266" t="s">
        <v>79</v>
      </c>
      <c r="D51" s="265" t="s">
        <v>40</v>
      </c>
      <c r="E51" s="265" t="s">
        <v>80</v>
      </c>
      <c r="F51" s="267" t="s">
        <v>41</v>
      </c>
      <c r="G51" s="277">
        <v>463.02</v>
      </c>
      <c r="H51" s="268">
        <f t="shared" si="25"/>
        <v>41.38</v>
      </c>
      <c r="I51" s="287">
        <v>9.39</v>
      </c>
      <c r="J51" s="268">
        <f t="shared" si="0"/>
        <v>11.91</v>
      </c>
      <c r="K51" s="292">
        <v>31.99</v>
      </c>
      <c r="L51" s="268">
        <f t="shared" si="1"/>
        <v>40.590000000000003</v>
      </c>
      <c r="M51" s="268">
        <f t="shared" si="26"/>
        <v>52.5</v>
      </c>
      <c r="N51" s="268">
        <f t="shared" si="27"/>
        <v>5514.57</v>
      </c>
      <c r="O51" s="268">
        <f t="shared" si="28"/>
        <v>18793.98</v>
      </c>
      <c r="P51" s="268">
        <f t="shared" si="29"/>
        <v>24308.55</v>
      </c>
      <c r="Q51" s="269">
        <f t="shared" si="6"/>
        <v>9.5999999999999992E-3</v>
      </c>
      <c r="R51" s="44"/>
      <c r="S51" s="49">
        <f t="shared" si="7"/>
        <v>19159.77</v>
      </c>
      <c r="T51" s="126"/>
      <c r="U51" s="48"/>
      <c r="V51" s="48"/>
      <c r="W51" s="48"/>
      <c r="X51" s="48"/>
      <c r="Y51" s="48"/>
      <c r="Z51" s="48"/>
      <c r="AA51" s="48"/>
      <c r="AB51" s="48"/>
      <c r="AC51" s="48"/>
      <c r="AD51" s="48"/>
      <c r="AE51" s="48"/>
      <c r="AF51" s="48"/>
      <c r="AG51" s="48"/>
      <c r="AH51" s="48"/>
      <c r="AI51" s="48"/>
      <c r="AJ51" s="44"/>
      <c r="AK51" s="44"/>
      <c r="AL51" s="44"/>
    </row>
    <row r="52" spans="1:38" x14ac:dyDescent="0.25">
      <c r="A52" s="94"/>
      <c r="B52" s="265" t="s">
        <v>1362</v>
      </c>
      <c r="C52" s="266" t="s">
        <v>81</v>
      </c>
      <c r="D52" s="265" t="s">
        <v>51</v>
      </c>
      <c r="E52" s="265" t="s">
        <v>82</v>
      </c>
      <c r="F52" s="267" t="s">
        <v>59</v>
      </c>
      <c r="G52" s="277">
        <v>76.2</v>
      </c>
      <c r="H52" s="268">
        <v>92.53</v>
      </c>
      <c r="I52" s="287">
        <f>1.12+1.33</f>
        <v>2.4500000000000002</v>
      </c>
      <c r="J52" s="268">
        <f t="shared" si="0"/>
        <v>3.11</v>
      </c>
      <c r="K52" s="292">
        <f>H52-I52</f>
        <v>90.08</v>
      </c>
      <c r="L52" s="268">
        <f t="shared" si="1"/>
        <v>114.28</v>
      </c>
      <c r="M52" s="268">
        <f t="shared" si="26"/>
        <v>117.39</v>
      </c>
      <c r="N52" s="268">
        <f t="shared" si="27"/>
        <v>236.98</v>
      </c>
      <c r="O52" s="268">
        <f t="shared" si="28"/>
        <v>8708.14</v>
      </c>
      <c r="P52" s="268">
        <f t="shared" si="29"/>
        <v>8945.1200000000008</v>
      </c>
      <c r="Q52" s="269">
        <f t="shared" si="6"/>
        <v>3.5000000000000001E-3</v>
      </c>
      <c r="R52" s="44"/>
      <c r="S52" s="49">
        <f t="shared" si="7"/>
        <v>7050.79</v>
      </c>
      <c r="T52" s="126"/>
      <c r="U52" s="48"/>
      <c r="V52" s="48"/>
      <c r="W52" s="48"/>
      <c r="X52" s="48"/>
      <c r="Y52" s="48"/>
      <c r="Z52" s="48"/>
      <c r="AA52" s="48"/>
      <c r="AB52" s="48"/>
      <c r="AC52" s="48"/>
      <c r="AD52" s="48"/>
      <c r="AE52" s="48"/>
      <c r="AF52" s="48"/>
      <c r="AG52" s="48"/>
      <c r="AH52" s="48"/>
      <c r="AI52" s="48"/>
      <c r="AJ52" s="44"/>
      <c r="AK52" s="44"/>
      <c r="AL52" s="44"/>
    </row>
    <row r="53" spans="1:38" x14ac:dyDescent="0.25">
      <c r="A53" s="94"/>
      <c r="B53" s="261">
        <v>3</v>
      </c>
      <c r="C53" s="261"/>
      <c r="D53" s="261"/>
      <c r="E53" s="261" t="s">
        <v>83</v>
      </c>
      <c r="F53" s="261"/>
      <c r="G53" s="276"/>
      <c r="H53" s="262"/>
      <c r="I53" s="286"/>
      <c r="J53" s="261"/>
      <c r="K53" s="291"/>
      <c r="L53" s="261"/>
      <c r="M53" s="261"/>
      <c r="N53" s="261"/>
      <c r="O53" s="261"/>
      <c r="P53" s="263"/>
      <c r="Q53" s="263"/>
      <c r="R53" s="44"/>
      <c r="S53" s="49">
        <f t="shared" si="7"/>
        <v>0</v>
      </c>
      <c r="T53" s="85"/>
      <c r="U53" s="48"/>
      <c r="V53" s="48"/>
      <c r="W53" s="48"/>
      <c r="X53" s="48"/>
      <c r="Y53" s="48"/>
      <c r="Z53" s="48"/>
      <c r="AA53" s="48"/>
      <c r="AB53" s="48"/>
      <c r="AC53" s="48"/>
      <c r="AD53" s="48"/>
      <c r="AE53" s="48"/>
      <c r="AF53" s="48"/>
      <c r="AG53" s="48"/>
      <c r="AH53" s="48"/>
      <c r="AI53" s="48"/>
      <c r="AJ53" s="44"/>
      <c r="AK53" s="44"/>
      <c r="AL53" s="44"/>
    </row>
    <row r="54" spans="1:38" ht="15.6" x14ac:dyDescent="0.25">
      <c r="A54" s="136"/>
      <c r="B54" s="261" t="s">
        <v>84</v>
      </c>
      <c r="C54" s="261"/>
      <c r="D54" s="261"/>
      <c r="E54" s="261" t="s">
        <v>85</v>
      </c>
      <c r="F54" s="261"/>
      <c r="G54" s="276"/>
      <c r="H54" s="262"/>
      <c r="I54" s="286"/>
      <c r="J54" s="261"/>
      <c r="K54" s="291"/>
      <c r="L54" s="261"/>
      <c r="M54" s="261"/>
      <c r="N54" s="261"/>
      <c r="O54" s="261"/>
      <c r="P54" s="263"/>
      <c r="Q54" s="263"/>
      <c r="R54" s="44"/>
      <c r="S54" s="49">
        <f t="shared" si="7"/>
        <v>0</v>
      </c>
      <c r="T54" s="137"/>
      <c r="U54" s="66"/>
      <c r="V54" s="66"/>
      <c r="W54" s="66"/>
      <c r="X54" s="66"/>
      <c r="Y54" s="66"/>
      <c r="Z54" s="66"/>
      <c r="AA54" s="66"/>
      <c r="AB54" s="66"/>
      <c r="AC54" s="66"/>
      <c r="AD54" s="66"/>
      <c r="AE54" s="66"/>
      <c r="AF54" s="66"/>
      <c r="AG54" s="66"/>
      <c r="AH54" s="66"/>
      <c r="AI54" s="66"/>
      <c r="AJ54" s="9"/>
      <c r="AK54" s="44"/>
      <c r="AL54" s="44"/>
    </row>
    <row r="55" spans="1:38" ht="27.6" x14ac:dyDescent="0.25">
      <c r="A55" s="94"/>
      <c r="B55" s="265" t="s">
        <v>86</v>
      </c>
      <c r="C55" s="266" t="s">
        <v>996</v>
      </c>
      <c r="D55" s="265" t="s">
        <v>40</v>
      </c>
      <c r="E55" s="265" t="s">
        <v>997</v>
      </c>
      <c r="F55" s="267" t="s">
        <v>41</v>
      </c>
      <c r="G55" s="277">
        <v>263.8</v>
      </c>
      <c r="H55" s="268">
        <f t="shared" ref="H55:H85" si="30">I55+K55</f>
        <v>71.48</v>
      </c>
      <c r="I55" s="287">
        <v>21.76</v>
      </c>
      <c r="J55" s="268">
        <f t="shared" si="0"/>
        <v>27.61</v>
      </c>
      <c r="K55" s="292">
        <f>20.22+29.49+0.01</f>
        <v>49.72</v>
      </c>
      <c r="L55" s="268">
        <f t="shared" ref="L55:L85" si="31">K55*(1+$M$9)</f>
        <v>63.08</v>
      </c>
      <c r="M55" s="268">
        <f t="shared" ref="M55" si="32">L55+J55</f>
        <v>90.69</v>
      </c>
      <c r="N55" s="268">
        <f t="shared" ref="N55" si="33">J55*G55</f>
        <v>7283.52</v>
      </c>
      <c r="O55" s="268">
        <f t="shared" ref="O55" si="34">L55*G55</f>
        <v>16640.5</v>
      </c>
      <c r="P55" s="268">
        <f t="shared" ref="P55" si="35">O55+N55</f>
        <v>23924.02</v>
      </c>
      <c r="Q55" s="269">
        <f t="shared" si="6"/>
        <v>9.4999999999999998E-3</v>
      </c>
      <c r="R55" s="44"/>
      <c r="S55" s="49">
        <f t="shared" si="7"/>
        <v>18856.419999999998</v>
      </c>
      <c r="T55" s="126"/>
      <c r="U55" s="48"/>
      <c r="V55" s="48"/>
      <c r="W55" s="48"/>
      <c r="X55" s="48"/>
      <c r="Y55" s="48"/>
      <c r="Z55" s="48"/>
      <c r="AA55" s="48"/>
      <c r="AB55" s="48"/>
      <c r="AC55" s="48"/>
      <c r="AD55" s="48"/>
      <c r="AE55" s="48"/>
      <c r="AF55" s="48"/>
      <c r="AG55" s="48"/>
      <c r="AH55" s="48"/>
      <c r="AI55" s="48"/>
      <c r="AJ55" s="44"/>
      <c r="AK55" s="44"/>
      <c r="AL55" s="44"/>
    </row>
    <row r="56" spans="1:38" ht="27.6" customHeight="1" x14ac:dyDescent="0.25">
      <c r="A56" s="94"/>
      <c r="B56" s="265" t="s">
        <v>87</v>
      </c>
      <c r="C56" s="266" t="s">
        <v>88</v>
      </c>
      <c r="D56" s="265" t="s">
        <v>40</v>
      </c>
      <c r="E56" s="265" t="s">
        <v>89</v>
      </c>
      <c r="F56" s="267" t="s">
        <v>65</v>
      </c>
      <c r="G56" s="277">
        <v>621.1</v>
      </c>
      <c r="H56" s="268">
        <f t="shared" si="30"/>
        <v>11.51</v>
      </c>
      <c r="I56" s="287">
        <v>0.96</v>
      </c>
      <c r="J56" s="268">
        <f t="shared" si="0"/>
        <v>1.22</v>
      </c>
      <c r="K56" s="292">
        <v>10.55</v>
      </c>
      <c r="L56" s="268">
        <f t="shared" si="31"/>
        <v>13.38</v>
      </c>
      <c r="M56" s="268">
        <f t="shared" ref="M56:M61" si="36">L56+J56</f>
        <v>14.6</v>
      </c>
      <c r="N56" s="268">
        <f t="shared" ref="N56:N61" si="37">J56*G56</f>
        <v>757.74</v>
      </c>
      <c r="O56" s="268">
        <f t="shared" ref="O56:O61" si="38">L56*G56</f>
        <v>8310.32</v>
      </c>
      <c r="P56" s="268">
        <f t="shared" ref="P56:P61" si="39">O56+N56</f>
        <v>9068.06</v>
      </c>
      <c r="Q56" s="269">
        <f t="shared" si="6"/>
        <v>3.5999999999999999E-3</v>
      </c>
      <c r="R56" s="44"/>
      <c r="S56" s="49">
        <f t="shared" si="7"/>
        <v>7148.86</v>
      </c>
      <c r="T56" s="126"/>
      <c r="U56" s="48"/>
      <c r="V56" s="48"/>
      <c r="W56" s="48"/>
      <c r="X56" s="48"/>
      <c r="Y56" s="48"/>
      <c r="Z56" s="48"/>
      <c r="AA56" s="48"/>
      <c r="AB56" s="48"/>
      <c r="AC56" s="48"/>
      <c r="AD56" s="48"/>
      <c r="AE56" s="48"/>
      <c r="AF56" s="48"/>
      <c r="AG56" s="48"/>
      <c r="AH56" s="48"/>
      <c r="AI56" s="48"/>
      <c r="AJ56" s="44"/>
      <c r="AK56" s="44"/>
      <c r="AL56" s="44"/>
    </row>
    <row r="57" spans="1:38" ht="27.6" x14ac:dyDescent="0.25">
      <c r="A57" s="94"/>
      <c r="B57" s="265" t="s">
        <v>90</v>
      </c>
      <c r="C57" s="266">
        <v>92763</v>
      </c>
      <c r="D57" s="265" t="s">
        <v>40</v>
      </c>
      <c r="E57" s="265" t="s">
        <v>92</v>
      </c>
      <c r="F57" s="267" t="s">
        <v>65</v>
      </c>
      <c r="G57" s="277">
        <v>165.1</v>
      </c>
      <c r="H57" s="268">
        <f t="shared" si="30"/>
        <v>9.7200000000000006</v>
      </c>
      <c r="I57" s="287">
        <v>0.61</v>
      </c>
      <c r="J57" s="268">
        <f t="shared" si="0"/>
        <v>0.77</v>
      </c>
      <c r="K57" s="292">
        <v>9.11</v>
      </c>
      <c r="L57" s="268">
        <f t="shared" si="31"/>
        <v>11.56</v>
      </c>
      <c r="M57" s="268">
        <f t="shared" si="36"/>
        <v>12.33</v>
      </c>
      <c r="N57" s="268">
        <f t="shared" si="37"/>
        <v>127.13</v>
      </c>
      <c r="O57" s="268">
        <f t="shared" si="38"/>
        <v>1908.56</v>
      </c>
      <c r="P57" s="268">
        <f t="shared" si="39"/>
        <v>2035.69</v>
      </c>
      <c r="Q57" s="269">
        <f t="shared" si="6"/>
        <v>8.0000000000000004E-4</v>
      </c>
      <c r="R57" s="44"/>
      <c r="S57" s="49">
        <f t="shared" si="7"/>
        <v>1604.77</v>
      </c>
      <c r="T57" s="126"/>
      <c r="U57" s="48"/>
      <c r="V57" s="48"/>
      <c r="W57" s="48"/>
      <c r="X57" s="48"/>
      <c r="Y57" s="48"/>
      <c r="Z57" s="48"/>
      <c r="AA57" s="48"/>
      <c r="AB57" s="48"/>
      <c r="AC57" s="48"/>
      <c r="AD57" s="48"/>
      <c r="AE57" s="48"/>
      <c r="AF57" s="48"/>
      <c r="AG57" s="48"/>
      <c r="AH57" s="48"/>
      <c r="AI57" s="48"/>
      <c r="AJ57" s="44"/>
      <c r="AK57" s="44"/>
      <c r="AL57" s="44"/>
    </row>
    <row r="58" spans="1:38" ht="27.6" x14ac:dyDescent="0.25">
      <c r="A58" s="94"/>
      <c r="B58" s="265" t="s">
        <v>93</v>
      </c>
      <c r="C58" s="266" t="s">
        <v>94</v>
      </c>
      <c r="D58" s="265" t="s">
        <v>40</v>
      </c>
      <c r="E58" s="265" t="s">
        <v>95</v>
      </c>
      <c r="F58" s="267" t="s">
        <v>65</v>
      </c>
      <c r="G58" s="277">
        <v>176</v>
      </c>
      <c r="H58" s="268">
        <f t="shared" si="30"/>
        <v>9.4499999999999993</v>
      </c>
      <c r="I58" s="287">
        <v>0.43</v>
      </c>
      <c r="J58" s="268">
        <f t="shared" si="0"/>
        <v>0.55000000000000004</v>
      </c>
      <c r="K58" s="292">
        <v>9.02</v>
      </c>
      <c r="L58" s="268">
        <f t="shared" si="31"/>
        <v>11.44</v>
      </c>
      <c r="M58" s="268">
        <f t="shared" si="36"/>
        <v>11.99</v>
      </c>
      <c r="N58" s="268">
        <f t="shared" si="37"/>
        <v>96.8</v>
      </c>
      <c r="O58" s="268">
        <f t="shared" si="38"/>
        <v>2013.44</v>
      </c>
      <c r="P58" s="268">
        <f t="shared" si="39"/>
        <v>2110.2399999999998</v>
      </c>
      <c r="Q58" s="269">
        <f t="shared" si="6"/>
        <v>8.0000000000000004E-4</v>
      </c>
      <c r="R58" s="44"/>
      <c r="S58" s="49">
        <f t="shared" si="7"/>
        <v>1663.2</v>
      </c>
      <c r="T58" s="126"/>
      <c r="U58" s="48"/>
      <c r="V58" s="48"/>
      <c r="W58" s="48"/>
      <c r="X58" s="48"/>
      <c r="Y58" s="48"/>
      <c r="Z58" s="48"/>
      <c r="AA58" s="48"/>
      <c r="AB58" s="48"/>
      <c r="AC58" s="48"/>
      <c r="AD58" s="48"/>
      <c r="AE58" s="48"/>
      <c r="AF58" s="48"/>
      <c r="AG58" s="48"/>
      <c r="AH58" s="48"/>
      <c r="AI58" s="48"/>
      <c r="AJ58" s="44"/>
      <c r="AK58" s="44"/>
      <c r="AL58" s="44"/>
    </row>
    <row r="59" spans="1:38" ht="27.6" x14ac:dyDescent="0.25">
      <c r="A59" s="94"/>
      <c r="B59" s="265" t="s">
        <v>96</v>
      </c>
      <c r="C59" s="266">
        <v>92759</v>
      </c>
      <c r="D59" s="265" t="s">
        <v>40</v>
      </c>
      <c r="E59" s="265" t="s">
        <v>98</v>
      </c>
      <c r="F59" s="267" t="s">
        <v>65</v>
      </c>
      <c r="G59" s="277">
        <v>391.4</v>
      </c>
      <c r="H59" s="268">
        <f t="shared" si="30"/>
        <v>13.92</v>
      </c>
      <c r="I59" s="287">
        <v>3.41</v>
      </c>
      <c r="J59" s="268">
        <f t="shared" si="0"/>
        <v>4.33</v>
      </c>
      <c r="K59" s="292">
        <v>10.51</v>
      </c>
      <c r="L59" s="268">
        <f t="shared" si="31"/>
        <v>13.33</v>
      </c>
      <c r="M59" s="268">
        <f t="shared" si="36"/>
        <v>17.66</v>
      </c>
      <c r="N59" s="268">
        <f t="shared" si="37"/>
        <v>1694.76</v>
      </c>
      <c r="O59" s="268">
        <f t="shared" si="38"/>
        <v>5217.3599999999997</v>
      </c>
      <c r="P59" s="268">
        <f t="shared" si="39"/>
        <v>6912.12</v>
      </c>
      <c r="Q59" s="269">
        <f t="shared" si="6"/>
        <v>2.7000000000000001E-3</v>
      </c>
      <c r="R59" s="44"/>
      <c r="S59" s="49">
        <f t="shared" si="7"/>
        <v>5448.29</v>
      </c>
      <c r="T59" s="126"/>
      <c r="U59" s="48"/>
      <c r="V59" s="48"/>
      <c r="W59" s="48"/>
      <c r="X59" s="48"/>
      <c r="Y59" s="48"/>
      <c r="Z59" s="48"/>
      <c r="AA59" s="48"/>
      <c r="AB59" s="48"/>
      <c r="AC59" s="48"/>
      <c r="AD59" s="48"/>
      <c r="AE59" s="48"/>
      <c r="AF59" s="48"/>
      <c r="AG59" s="48"/>
      <c r="AH59" s="48"/>
      <c r="AI59" s="48"/>
      <c r="AJ59" s="44"/>
      <c r="AK59" s="44"/>
      <c r="AL59" s="44"/>
    </row>
    <row r="60" spans="1:38" ht="27.6" x14ac:dyDescent="0.25">
      <c r="A60" s="94"/>
      <c r="B60" s="265" t="s">
        <v>99</v>
      </c>
      <c r="C60" s="266" t="s">
        <v>998</v>
      </c>
      <c r="D60" s="265" t="s">
        <v>100</v>
      </c>
      <c r="E60" s="265" t="s">
        <v>999</v>
      </c>
      <c r="F60" s="267" t="s">
        <v>59</v>
      </c>
      <c r="G60" s="277">
        <v>17.399999999999999</v>
      </c>
      <c r="H60" s="268">
        <f>CPUS!L26</f>
        <v>624.83000000000004</v>
      </c>
      <c r="I60" s="287">
        <f>CPUS!H33</f>
        <v>35.76</v>
      </c>
      <c r="J60" s="268">
        <f t="shared" si="0"/>
        <v>45.37</v>
      </c>
      <c r="K60" s="292">
        <f>H60-I60</f>
        <v>589.07000000000005</v>
      </c>
      <c r="L60" s="268">
        <f t="shared" si="31"/>
        <v>747.35</v>
      </c>
      <c r="M60" s="268">
        <f t="shared" si="36"/>
        <v>792.72</v>
      </c>
      <c r="N60" s="268">
        <f t="shared" si="37"/>
        <v>789.44</v>
      </c>
      <c r="O60" s="268">
        <f t="shared" si="38"/>
        <v>13003.89</v>
      </c>
      <c r="P60" s="268">
        <f t="shared" si="39"/>
        <v>13793.33</v>
      </c>
      <c r="Q60" s="269">
        <f t="shared" si="6"/>
        <v>5.4999999999999997E-3</v>
      </c>
      <c r="R60" s="44"/>
      <c r="S60" s="49">
        <f t="shared" si="7"/>
        <v>10872.04</v>
      </c>
      <c r="T60" s="126"/>
      <c r="U60" s="48"/>
      <c r="V60" s="48"/>
      <c r="W60" s="48"/>
      <c r="X60" s="48"/>
      <c r="Y60" s="48"/>
      <c r="Z60" s="48"/>
      <c r="AA60" s="48"/>
      <c r="AB60" s="48"/>
      <c r="AC60" s="48"/>
      <c r="AD60" s="48"/>
      <c r="AE60" s="48"/>
      <c r="AF60" s="48"/>
      <c r="AG60" s="48"/>
      <c r="AH60" s="48"/>
      <c r="AI60" s="48"/>
      <c r="AJ60" s="44"/>
      <c r="AK60" s="44"/>
      <c r="AL60" s="44"/>
    </row>
    <row r="61" spans="1:38" x14ac:dyDescent="0.25">
      <c r="A61" s="258"/>
      <c r="B61" s="265" t="s">
        <v>101</v>
      </c>
      <c r="C61" s="266" t="s">
        <v>81</v>
      </c>
      <c r="D61" s="265" t="s">
        <v>51</v>
      </c>
      <c r="E61" s="265" t="s">
        <v>82</v>
      </c>
      <c r="F61" s="267" t="s">
        <v>59</v>
      </c>
      <c r="G61" s="277">
        <v>17.399999999999999</v>
      </c>
      <c r="H61" s="268">
        <f>H52</f>
        <v>92.53</v>
      </c>
      <c r="I61" s="287">
        <f>I52</f>
        <v>2.4500000000000002</v>
      </c>
      <c r="J61" s="268">
        <f t="shared" si="0"/>
        <v>3.11</v>
      </c>
      <c r="K61" s="292">
        <f>K52</f>
        <v>90.08</v>
      </c>
      <c r="L61" s="268">
        <f t="shared" si="31"/>
        <v>114.28</v>
      </c>
      <c r="M61" s="268">
        <f t="shared" si="36"/>
        <v>117.39</v>
      </c>
      <c r="N61" s="268">
        <f t="shared" si="37"/>
        <v>54.11</v>
      </c>
      <c r="O61" s="268">
        <f t="shared" si="38"/>
        <v>1988.47</v>
      </c>
      <c r="P61" s="268">
        <f t="shared" si="39"/>
        <v>2042.58</v>
      </c>
      <c r="Q61" s="269">
        <f t="shared" si="6"/>
        <v>8.0000000000000004E-4</v>
      </c>
      <c r="R61" s="44"/>
      <c r="S61" s="49">
        <f t="shared" si="7"/>
        <v>1610.02</v>
      </c>
      <c r="T61" s="126"/>
      <c r="U61" s="48"/>
      <c r="V61" s="48"/>
      <c r="W61" s="48"/>
      <c r="X61" s="48"/>
      <c r="Y61" s="48"/>
      <c r="Z61" s="48"/>
      <c r="AA61" s="48"/>
      <c r="AB61" s="48"/>
      <c r="AC61" s="48"/>
      <c r="AD61" s="48"/>
      <c r="AE61" s="48"/>
      <c r="AF61" s="48"/>
      <c r="AG61" s="48"/>
      <c r="AH61" s="48"/>
      <c r="AI61" s="48"/>
      <c r="AJ61" s="44"/>
      <c r="AK61" s="44"/>
      <c r="AL61" s="44"/>
    </row>
    <row r="62" spans="1:38" ht="15.6" x14ac:dyDescent="0.25">
      <c r="A62" s="259"/>
      <c r="B62" s="261" t="s">
        <v>102</v>
      </c>
      <c r="C62" s="261"/>
      <c r="D62" s="261"/>
      <c r="E62" s="261" t="s">
        <v>103</v>
      </c>
      <c r="F62" s="261"/>
      <c r="G62" s="276"/>
      <c r="H62" s="262"/>
      <c r="I62" s="286"/>
      <c r="J62" s="261"/>
      <c r="K62" s="291"/>
      <c r="L62" s="261"/>
      <c r="M62" s="261"/>
      <c r="N62" s="261"/>
      <c r="O62" s="261"/>
      <c r="P62" s="263"/>
      <c r="Q62" s="263"/>
      <c r="R62" s="44"/>
      <c r="S62" s="49">
        <f t="shared" si="7"/>
        <v>0</v>
      </c>
      <c r="T62" s="137"/>
      <c r="U62" s="66"/>
      <c r="V62" s="66"/>
      <c r="W62" s="66"/>
      <c r="X62" s="66"/>
      <c r="Y62" s="66"/>
      <c r="Z62" s="66"/>
      <c r="AA62" s="66"/>
      <c r="AB62" s="66"/>
      <c r="AC62" s="66"/>
      <c r="AD62" s="66"/>
      <c r="AE62" s="66"/>
      <c r="AF62" s="66"/>
      <c r="AG62" s="66"/>
      <c r="AH62" s="66"/>
      <c r="AI62" s="66"/>
      <c r="AJ62" s="9"/>
      <c r="AK62" s="44"/>
      <c r="AL62" s="44"/>
    </row>
    <row r="63" spans="1:38" ht="27.6" customHeight="1" x14ac:dyDescent="0.25">
      <c r="A63" s="258"/>
      <c r="B63" s="265" t="s">
        <v>104</v>
      </c>
      <c r="C63" s="266" t="s">
        <v>1000</v>
      </c>
      <c r="D63" s="265" t="s">
        <v>40</v>
      </c>
      <c r="E63" s="265" t="s">
        <v>1001</v>
      </c>
      <c r="F63" s="267" t="s">
        <v>41</v>
      </c>
      <c r="G63" s="277">
        <v>325.10000000000002</v>
      </c>
      <c r="H63" s="268">
        <f t="shared" si="30"/>
        <v>125.06</v>
      </c>
      <c r="I63" s="287">
        <v>39.26</v>
      </c>
      <c r="J63" s="268">
        <f t="shared" si="0"/>
        <v>49.81</v>
      </c>
      <c r="K63" s="292">
        <f>45.95+39.85</f>
        <v>85.8</v>
      </c>
      <c r="L63" s="268">
        <f t="shared" si="31"/>
        <v>108.85</v>
      </c>
      <c r="M63" s="268">
        <f t="shared" ref="M63" si="40">L63+J63</f>
        <v>158.66</v>
      </c>
      <c r="N63" s="268">
        <f t="shared" ref="N63" si="41">J63*G63</f>
        <v>16193.23</v>
      </c>
      <c r="O63" s="268">
        <f t="shared" ref="O63" si="42">L63*G63</f>
        <v>35387.14</v>
      </c>
      <c r="P63" s="268">
        <f t="shared" ref="P63" si="43">O63+N63</f>
        <v>51580.37</v>
      </c>
      <c r="Q63" s="269">
        <f t="shared" si="6"/>
        <v>2.0400000000000001E-2</v>
      </c>
      <c r="R63" s="44"/>
      <c r="S63" s="49">
        <f t="shared" si="7"/>
        <v>40657.01</v>
      </c>
      <c r="T63" s="126"/>
      <c r="U63" s="48"/>
      <c r="V63" s="48"/>
      <c r="W63" s="48"/>
      <c r="X63" s="48"/>
      <c r="Y63" s="48"/>
      <c r="Z63" s="48"/>
      <c r="AA63" s="48"/>
      <c r="AB63" s="48"/>
      <c r="AC63" s="48"/>
      <c r="AD63" s="48"/>
      <c r="AE63" s="48"/>
      <c r="AF63" s="48"/>
      <c r="AG63" s="48"/>
      <c r="AH63" s="48"/>
      <c r="AI63" s="48"/>
      <c r="AJ63" s="44"/>
      <c r="AK63" s="44"/>
      <c r="AL63" s="44"/>
    </row>
    <row r="64" spans="1:38" ht="27.6" x14ac:dyDescent="0.25">
      <c r="A64" s="94"/>
      <c r="B64" s="265" t="s">
        <v>105</v>
      </c>
      <c r="C64" s="266" t="s">
        <v>106</v>
      </c>
      <c r="D64" s="265" t="s">
        <v>40</v>
      </c>
      <c r="E64" s="265" t="s">
        <v>107</v>
      </c>
      <c r="F64" s="267" t="s">
        <v>65</v>
      </c>
      <c r="G64" s="277">
        <v>18.7</v>
      </c>
      <c r="H64" s="268">
        <f t="shared" si="30"/>
        <v>13.43</v>
      </c>
      <c r="I64" s="287">
        <v>2.2599999999999998</v>
      </c>
      <c r="J64" s="268">
        <f t="shared" si="0"/>
        <v>2.87</v>
      </c>
      <c r="K64" s="292">
        <v>11.17</v>
      </c>
      <c r="L64" s="268">
        <f t="shared" si="31"/>
        <v>14.17</v>
      </c>
      <c r="M64" s="268">
        <f t="shared" ref="M64:M72" si="44">L64+J64</f>
        <v>17.04</v>
      </c>
      <c r="N64" s="268">
        <f t="shared" ref="N64:N72" si="45">J64*G64</f>
        <v>53.67</v>
      </c>
      <c r="O64" s="268">
        <f t="shared" ref="O64:O72" si="46">L64*G64</f>
        <v>264.98</v>
      </c>
      <c r="P64" s="268">
        <f t="shared" ref="P64:P72" si="47">O64+N64</f>
        <v>318.64999999999998</v>
      </c>
      <c r="Q64" s="269">
        <f t="shared" si="6"/>
        <v>1E-4</v>
      </c>
      <c r="R64" s="44"/>
      <c r="S64" s="49">
        <f t="shared" si="7"/>
        <v>251.14</v>
      </c>
      <c r="T64" s="126"/>
      <c r="U64" s="48"/>
      <c r="V64" s="48"/>
      <c r="W64" s="48"/>
      <c r="X64" s="48"/>
      <c r="Y64" s="48"/>
      <c r="Z64" s="48"/>
      <c r="AA64" s="48"/>
      <c r="AB64" s="48"/>
      <c r="AC64" s="48"/>
      <c r="AD64" s="48"/>
      <c r="AE64" s="48"/>
      <c r="AF64" s="48"/>
      <c r="AG64" s="48"/>
      <c r="AH64" s="48"/>
      <c r="AI64" s="48"/>
      <c r="AJ64" s="44"/>
      <c r="AK64" s="44"/>
      <c r="AL64" s="44"/>
    </row>
    <row r="65" spans="1:38" ht="27.6" x14ac:dyDescent="0.25">
      <c r="A65" s="94"/>
      <c r="B65" s="265" t="s">
        <v>108</v>
      </c>
      <c r="C65" s="266" t="s">
        <v>109</v>
      </c>
      <c r="D65" s="265" t="s">
        <v>40</v>
      </c>
      <c r="E65" s="265" t="s">
        <v>110</v>
      </c>
      <c r="F65" s="267" t="s">
        <v>65</v>
      </c>
      <c r="G65" s="277">
        <v>518.70000000000005</v>
      </c>
      <c r="H65" s="268">
        <f t="shared" si="30"/>
        <v>12.81</v>
      </c>
      <c r="I65" s="287">
        <v>1.48</v>
      </c>
      <c r="J65" s="268">
        <f t="shared" si="0"/>
        <v>1.88</v>
      </c>
      <c r="K65" s="292">
        <v>11.33</v>
      </c>
      <c r="L65" s="268">
        <f t="shared" si="31"/>
        <v>14.37</v>
      </c>
      <c r="M65" s="268">
        <f t="shared" si="44"/>
        <v>16.25</v>
      </c>
      <c r="N65" s="268">
        <f t="shared" si="45"/>
        <v>975.16</v>
      </c>
      <c r="O65" s="268">
        <f t="shared" si="46"/>
        <v>7453.72</v>
      </c>
      <c r="P65" s="268">
        <f t="shared" si="47"/>
        <v>8428.8799999999992</v>
      </c>
      <c r="Q65" s="269">
        <f t="shared" si="6"/>
        <v>3.3E-3</v>
      </c>
      <c r="R65" s="44"/>
      <c r="S65" s="49">
        <f t="shared" si="7"/>
        <v>6644.55</v>
      </c>
      <c r="T65" s="126"/>
      <c r="U65" s="48"/>
      <c r="V65" s="48"/>
      <c r="W65" s="48"/>
      <c r="X65" s="48"/>
      <c r="Y65" s="48"/>
      <c r="Z65" s="48"/>
      <c r="AA65" s="48"/>
      <c r="AB65" s="48"/>
      <c r="AC65" s="48"/>
      <c r="AD65" s="48"/>
      <c r="AE65" s="48"/>
      <c r="AF65" s="48"/>
      <c r="AG65" s="48"/>
      <c r="AH65" s="48"/>
      <c r="AI65" s="48"/>
      <c r="AJ65" s="44"/>
      <c r="AK65" s="44"/>
      <c r="AL65" s="44"/>
    </row>
    <row r="66" spans="1:38" ht="27.6" x14ac:dyDescent="0.25">
      <c r="A66" s="94"/>
      <c r="B66" s="265" t="s">
        <v>111</v>
      </c>
      <c r="C66" s="266" t="s">
        <v>88</v>
      </c>
      <c r="D66" s="265" t="s">
        <v>40</v>
      </c>
      <c r="E66" s="265" t="s">
        <v>89</v>
      </c>
      <c r="F66" s="267" t="s">
        <v>65</v>
      </c>
      <c r="G66" s="277">
        <v>668.5</v>
      </c>
      <c r="H66" s="268">
        <f t="shared" si="30"/>
        <v>11.51</v>
      </c>
      <c r="I66" s="287">
        <v>0.96</v>
      </c>
      <c r="J66" s="268">
        <f t="shared" si="0"/>
        <v>1.22</v>
      </c>
      <c r="K66" s="292">
        <v>10.55</v>
      </c>
      <c r="L66" s="268">
        <f t="shared" si="31"/>
        <v>13.38</v>
      </c>
      <c r="M66" s="268">
        <f t="shared" si="44"/>
        <v>14.6</v>
      </c>
      <c r="N66" s="268">
        <f t="shared" si="45"/>
        <v>815.57</v>
      </c>
      <c r="O66" s="268">
        <f t="shared" si="46"/>
        <v>8944.5300000000007</v>
      </c>
      <c r="P66" s="268">
        <f t="shared" si="47"/>
        <v>9760.1</v>
      </c>
      <c r="Q66" s="269">
        <f t="shared" si="6"/>
        <v>3.8999999999999998E-3</v>
      </c>
      <c r="R66" s="44"/>
      <c r="S66" s="49">
        <f t="shared" si="7"/>
        <v>7694.44</v>
      </c>
      <c r="T66" s="126"/>
      <c r="U66" s="48"/>
      <c r="V66" s="48"/>
      <c r="W66" s="48"/>
      <c r="X66" s="48"/>
      <c r="Y66" s="48"/>
      <c r="Z66" s="48"/>
      <c r="AA66" s="48"/>
      <c r="AB66" s="48"/>
      <c r="AC66" s="48"/>
      <c r="AD66" s="48"/>
      <c r="AE66" s="48"/>
      <c r="AF66" s="48"/>
      <c r="AG66" s="48"/>
      <c r="AH66" s="48"/>
      <c r="AI66" s="48"/>
      <c r="AJ66" s="44"/>
      <c r="AK66" s="44"/>
      <c r="AL66" s="44"/>
    </row>
    <row r="67" spans="1:38" ht="27.6" x14ac:dyDescent="0.25">
      <c r="A67" s="94"/>
      <c r="B67" s="265" t="s">
        <v>112</v>
      </c>
      <c r="C67" s="266" t="s">
        <v>91</v>
      </c>
      <c r="D67" s="265" t="s">
        <v>40</v>
      </c>
      <c r="E67" s="265" t="s">
        <v>92</v>
      </c>
      <c r="F67" s="267" t="s">
        <v>65</v>
      </c>
      <c r="G67" s="277">
        <v>766</v>
      </c>
      <c r="H67" s="268">
        <f t="shared" si="30"/>
        <v>9.7200000000000006</v>
      </c>
      <c r="I67" s="287">
        <v>0.61</v>
      </c>
      <c r="J67" s="268">
        <f t="shared" si="0"/>
        <v>0.77</v>
      </c>
      <c r="K67" s="292">
        <v>9.11</v>
      </c>
      <c r="L67" s="268">
        <f t="shared" si="31"/>
        <v>11.56</v>
      </c>
      <c r="M67" s="268">
        <f t="shared" si="44"/>
        <v>12.33</v>
      </c>
      <c r="N67" s="268">
        <f t="shared" si="45"/>
        <v>589.82000000000005</v>
      </c>
      <c r="O67" s="268">
        <f t="shared" si="46"/>
        <v>8854.9599999999991</v>
      </c>
      <c r="P67" s="268">
        <f t="shared" si="47"/>
        <v>9444.7800000000007</v>
      </c>
      <c r="Q67" s="269">
        <f t="shared" si="6"/>
        <v>3.7000000000000002E-3</v>
      </c>
      <c r="R67" s="44"/>
      <c r="S67" s="49">
        <f t="shared" si="7"/>
        <v>7445.52</v>
      </c>
      <c r="T67" s="126"/>
      <c r="U67" s="48"/>
      <c r="V67" s="48"/>
      <c r="W67" s="48"/>
      <c r="X67" s="48"/>
      <c r="Y67" s="48"/>
      <c r="Z67" s="48"/>
      <c r="AA67" s="48"/>
      <c r="AB67" s="48"/>
      <c r="AC67" s="48"/>
      <c r="AD67" s="48"/>
      <c r="AE67" s="48"/>
      <c r="AF67" s="48"/>
      <c r="AG67" s="48"/>
      <c r="AH67" s="48"/>
      <c r="AI67" s="48"/>
      <c r="AJ67" s="44"/>
      <c r="AK67" s="44"/>
      <c r="AL67" s="44"/>
    </row>
    <row r="68" spans="1:38" ht="27.6" x14ac:dyDescent="0.25">
      <c r="A68" s="94"/>
      <c r="B68" s="265" t="s">
        <v>113</v>
      </c>
      <c r="C68" s="266" t="s">
        <v>94</v>
      </c>
      <c r="D68" s="265" t="s">
        <v>40</v>
      </c>
      <c r="E68" s="265" t="s">
        <v>95</v>
      </c>
      <c r="F68" s="267" t="s">
        <v>65</v>
      </c>
      <c r="G68" s="277">
        <v>501.2</v>
      </c>
      <c r="H68" s="268">
        <f t="shared" si="30"/>
        <v>9.4499999999999993</v>
      </c>
      <c r="I68" s="287">
        <v>0.43</v>
      </c>
      <c r="J68" s="268">
        <f t="shared" si="0"/>
        <v>0.55000000000000004</v>
      </c>
      <c r="K68" s="292">
        <v>9.02</v>
      </c>
      <c r="L68" s="268">
        <f t="shared" si="31"/>
        <v>11.44</v>
      </c>
      <c r="M68" s="268">
        <f t="shared" si="44"/>
        <v>11.99</v>
      </c>
      <c r="N68" s="268">
        <f t="shared" si="45"/>
        <v>275.66000000000003</v>
      </c>
      <c r="O68" s="268">
        <f t="shared" si="46"/>
        <v>5733.73</v>
      </c>
      <c r="P68" s="268">
        <f t="shared" si="47"/>
        <v>6009.39</v>
      </c>
      <c r="Q68" s="269">
        <f t="shared" si="6"/>
        <v>2.3999999999999998E-3</v>
      </c>
      <c r="R68" s="44"/>
      <c r="S68" s="49">
        <f t="shared" si="7"/>
        <v>4736.34</v>
      </c>
      <c r="T68" s="126"/>
      <c r="U68" s="48"/>
      <c r="V68" s="48"/>
      <c r="W68" s="48"/>
      <c r="X68" s="48"/>
      <c r="Y68" s="48"/>
      <c r="Z68" s="48"/>
      <c r="AA68" s="48"/>
      <c r="AB68" s="48"/>
      <c r="AC68" s="48"/>
      <c r="AD68" s="48"/>
      <c r="AE68" s="48"/>
      <c r="AF68" s="48"/>
      <c r="AG68" s="48"/>
      <c r="AH68" s="48"/>
      <c r="AI68" s="48"/>
      <c r="AJ68" s="44"/>
      <c r="AK68" s="44"/>
      <c r="AL68" s="44"/>
    </row>
    <row r="69" spans="1:38" ht="27.6" x14ac:dyDescent="0.25">
      <c r="A69" s="94"/>
      <c r="B69" s="265" t="s">
        <v>114</v>
      </c>
      <c r="C69" s="266" t="s">
        <v>1447</v>
      </c>
      <c r="D69" s="265" t="s">
        <v>40</v>
      </c>
      <c r="E69" s="265" t="s">
        <v>1448</v>
      </c>
      <c r="F69" s="267" t="s">
        <v>65</v>
      </c>
      <c r="G69" s="277">
        <v>93.4</v>
      </c>
      <c r="H69" s="268">
        <f t="shared" si="30"/>
        <v>10.84</v>
      </c>
      <c r="I69" s="287">
        <v>0.32</v>
      </c>
      <c r="J69" s="268">
        <f t="shared" si="0"/>
        <v>0.41</v>
      </c>
      <c r="K69" s="292">
        <v>10.52</v>
      </c>
      <c r="L69" s="268">
        <f t="shared" si="31"/>
        <v>13.35</v>
      </c>
      <c r="M69" s="268">
        <f t="shared" si="44"/>
        <v>13.76</v>
      </c>
      <c r="N69" s="268">
        <f t="shared" si="45"/>
        <v>38.29</v>
      </c>
      <c r="O69" s="268">
        <f t="shared" si="46"/>
        <v>1246.8900000000001</v>
      </c>
      <c r="P69" s="268">
        <f t="shared" si="47"/>
        <v>1285.18</v>
      </c>
      <c r="Q69" s="269">
        <f t="shared" si="6"/>
        <v>5.0000000000000001E-4</v>
      </c>
      <c r="R69" s="44"/>
      <c r="S69" s="49">
        <f t="shared" si="7"/>
        <v>1012.46</v>
      </c>
      <c r="T69" s="126"/>
      <c r="U69" s="48"/>
      <c r="V69" s="48"/>
      <c r="W69" s="48"/>
      <c r="X69" s="48"/>
      <c r="Y69" s="48"/>
      <c r="Z69" s="48"/>
      <c r="AA69" s="48"/>
      <c r="AB69" s="48"/>
      <c r="AC69" s="48"/>
      <c r="AD69" s="48"/>
      <c r="AE69" s="48"/>
      <c r="AF69" s="48"/>
      <c r="AG69" s="48"/>
      <c r="AH69" s="48"/>
      <c r="AI69" s="48"/>
      <c r="AJ69" s="44"/>
      <c r="AK69" s="44"/>
      <c r="AL69" s="44"/>
    </row>
    <row r="70" spans="1:38" ht="27.6" x14ac:dyDescent="0.25">
      <c r="A70" s="94"/>
      <c r="B70" s="265" t="s">
        <v>115</v>
      </c>
      <c r="C70" s="266" t="s">
        <v>97</v>
      </c>
      <c r="D70" s="265" t="s">
        <v>40</v>
      </c>
      <c r="E70" s="265" t="s">
        <v>98</v>
      </c>
      <c r="F70" s="267" t="s">
        <v>65</v>
      </c>
      <c r="G70" s="277">
        <v>519.20000000000005</v>
      </c>
      <c r="H70" s="268">
        <f t="shared" si="30"/>
        <v>13.92</v>
      </c>
      <c r="I70" s="287">
        <v>3.41</v>
      </c>
      <c r="J70" s="268">
        <f t="shared" si="0"/>
        <v>4.33</v>
      </c>
      <c r="K70" s="292">
        <v>10.51</v>
      </c>
      <c r="L70" s="268">
        <f t="shared" si="31"/>
        <v>13.33</v>
      </c>
      <c r="M70" s="268">
        <f t="shared" si="44"/>
        <v>17.66</v>
      </c>
      <c r="N70" s="268">
        <f t="shared" si="45"/>
        <v>2248.14</v>
      </c>
      <c r="O70" s="268">
        <f t="shared" si="46"/>
        <v>6920.94</v>
      </c>
      <c r="P70" s="268">
        <f t="shared" si="47"/>
        <v>9169.08</v>
      </c>
      <c r="Q70" s="269">
        <f t="shared" si="6"/>
        <v>3.5999999999999999E-3</v>
      </c>
      <c r="R70" s="44"/>
      <c r="S70" s="49">
        <f t="shared" si="7"/>
        <v>7227.26</v>
      </c>
      <c r="T70" s="126"/>
      <c r="U70" s="48"/>
      <c r="V70" s="48"/>
      <c r="W70" s="48"/>
      <c r="X70" s="48"/>
      <c r="Y70" s="48"/>
      <c r="Z70" s="48"/>
      <c r="AA70" s="48"/>
      <c r="AB70" s="48"/>
      <c r="AC70" s="48"/>
      <c r="AD70" s="48"/>
      <c r="AE70" s="48"/>
      <c r="AF70" s="48"/>
      <c r="AG70" s="48"/>
      <c r="AH70" s="48"/>
      <c r="AI70" s="48"/>
      <c r="AJ70" s="44"/>
      <c r="AK70" s="44"/>
      <c r="AL70" s="44"/>
    </row>
    <row r="71" spans="1:38" ht="27.6" x14ac:dyDescent="0.25">
      <c r="A71" s="94"/>
      <c r="B71" s="265" t="s">
        <v>116</v>
      </c>
      <c r="C71" s="266" t="s">
        <v>1002</v>
      </c>
      <c r="D71" s="265" t="s">
        <v>100</v>
      </c>
      <c r="E71" s="265" t="s">
        <v>1003</v>
      </c>
      <c r="F71" s="267" t="s">
        <v>59</v>
      </c>
      <c r="G71" s="277">
        <v>36.9</v>
      </c>
      <c r="H71" s="268">
        <f>CPUS!L37</f>
        <v>625.25</v>
      </c>
      <c r="I71" s="287">
        <f>CPUS!H44</f>
        <v>36.15</v>
      </c>
      <c r="J71" s="268">
        <f t="shared" si="0"/>
        <v>45.86</v>
      </c>
      <c r="K71" s="292">
        <f>H71-I71</f>
        <v>589.1</v>
      </c>
      <c r="L71" s="268">
        <f t="shared" si="31"/>
        <v>747.39</v>
      </c>
      <c r="M71" s="268">
        <f t="shared" si="44"/>
        <v>793.25</v>
      </c>
      <c r="N71" s="268">
        <f t="shared" si="45"/>
        <v>1692.23</v>
      </c>
      <c r="O71" s="268">
        <f t="shared" si="46"/>
        <v>27578.69</v>
      </c>
      <c r="P71" s="268">
        <f t="shared" si="47"/>
        <v>29270.92</v>
      </c>
      <c r="Q71" s="269">
        <f t="shared" si="6"/>
        <v>1.1599999999999999E-2</v>
      </c>
      <c r="R71" s="44"/>
      <c r="S71" s="49">
        <f t="shared" si="7"/>
        <v>23071.73</v>
      </c>
      <c r="T71" s="85"/>
      <c r="U71" s="48"/>
      <c r="V71" s="48"/>
      <c r="W71" s="48"/>
      <c r="X71" s="48"/>
      <c r="Y71" s="48"/>
      <c r="Z71" s="48"/>
      <c r="AA71" s="48"/>
      <c r="AB71" s="48"/>
      <c r="AC71" s="48"/>
      <c r="AD71" s="48"/>
      <c r="AE71" s="48"/>
      <c r="AF71" s="48"/>
      <c r="AG71" s="48"/>
      <c r="AH71" s="48"/>
      <c r="AI71" s="48"/>
      <c r="AJ71" s="44"/>
      <c r="AK71" s="44"/>
      <c r="AL71" s="44"/>
    </row>
    <row r="72" spans="1:38" x14ac:dyDescent="0.25">
      <c r="A72" s="94"/>
      <c r="B72" s="265" t="s">
        <v>1449</v>
      </c>
      <c r="C72" s="266" t="s">
        <v>81</v>
      </c>
      <c r="D72" s="265" t="s">
        <v>51</v>
      </c>
      <c r="E72" s="265" t="s">
        <v>82</v>
      </c>
      <c r="F72" s="267" t="s">
        <v>59</v>
      </c>
      <c r="G72" s="277">
        <v>36.9</v>
      </c>
      <c r="H72" s="268">
        <f>H61</f>
        <v>92.53</v>
      </c>
      <c r="I72" s="287">
        <f>I61</f>
        <v>2.4500000000000002</v>
      </c>
      <c r="J72" s="268">
        <f t="shared" si="0"/>
        <v>3.11</v>
      </c>
      <c r="K72" s="292">
        <f>K61</f>
        <v>90.08</v>
      </c>
      <c r="L72" s="268">
        <f t="shared" si="31"/>
        <v>114.28</v>
      </c>
      <c r="M72" s="268">
        <f t="shared" si="44"/>
        <v>117.39</v>
      </c>
      <c r="N72" s="268">
        <f t="shared" si="45"/>
        <v>114.76</v>
      </c>
      <c r="O72" s="268">
        <f t="shared" si="46"/>
        <v>4216.93</v>
      </c>
      <c r="P72" s="268">
        <f t="shared" si="47"/>
        <v>4331.6899999999996</v>
      </c>
      <c r="Q72" s="269">
        <f t="shared" si="6"/>
        <v>1.6999999999999999E-3</v>
      </c>
      <c r="R72" s="44"/>
      <c r="S72" s="49">
        <f t="shared" si="7"/>
        <v>3414.36</v>
      </c>
      <c r="T72" s="126"/>
      <c r="U72" s="48"/>
      <c r="V72" s="48"/>
      <c r="W72" s="48"/>
      <c r="X72" s="48"/>
      <c r="Y72" s="48"/>
      <c r="Z72" s="48"/>
      <c r="AA72" s="48"/>
      <c r="AB72" s="48"/>
      <c r="AC72" s="48"/>
      <c r="AD72" s="48"/>
      <c r="AE72" s="48"/>
      <c r="AF72" s="48"/>
      <c r="AG72" s="48"/>
      <c r="AH72" s="48"/>
      <c r="AI72" s="48"/>
      <c r="AJ72" s="44"/>
      <c r="AK72" s="44"/>
      <c r="AL72" s="44"/>
    </row>
    <row r="73" spans="1:38" x14ac:dyDescent="0.25">
      <c r="A73" s="94"/>
      <c r="B73" s="261" t="s">
        <v>117</v>
      </c>
      <c r="C73" s="261"/>
      <c r="D73" s="261"/>
      <c r="E73" s="261" t="s">
        <v>972</v>
      </c>
      <c r="F73" s="261"/>
      <c r="G73" s="276"/>
      <c r="H73" s="262"/>
      <c r="I73" s="286"/>
      <c r="J73" s="261"/>
      <c r="K73" s="291"/>
      <c r="L73" s="261"/>
      <c r="M73" s="261"/>
      <c r="N73" s="261"/>
      <c r="O73" s="261"/>
      <c r="P73" s="263"/>
      <c r="Q73" s="263"/>
      <c r="R73" s="44"/>
      <c r="S73" s="49">
        <f t="shared" si="7"/>
        <v>0</v>
      </c>
      <c r="T73" s="85"/>
      <c r="U73" s="48"/>
      <c r="V73" s="48"/>
      <c r="W73" s="48"/>
      <c r="X73" s="48"/>
      <c r="Y73" s="48"/>
      <c r="Z73" s="48"/>
      <c r="AA73" s="48"/>
      <c r="AB73" s="48"/>
      <c r="AC73" s="48"/>
      <c r="AD73" s="48"/>
      <c r="AE73" s="48"/>
      <c r="AF73" s="48"/>
      <c r="AG73" s="48"/>
      <c r="AH73" s="48"/>
      <c r="AI73" s="48"/>
      <c r="AJ73" s="44"/>
      <c r="AK73" s="44"/>
      <c r="AL73" s="44"/>
    </row>
    <row r="74" spans="1:38" ht="27.6" x14ac:dyDescent="0.25">
      <c r="A74" s="94"/>
      <c r="B74" s="265" t="s">
        <v>118</v>
      </c>
      <c r="C74" s="266" t="s">
        <v>1004</v>
      </c>
      <c r="D74" s="265" t="s">
        <v>40</v>
      </c>
      <c r="E74" s="265" t="s">
        <v>1005</v>
      </c>
      <c r="F74" s="267" t="s">
        <v>41</v>
      </c>
      <c r="G74" s="277">
        <v>60.6</v>
      </c>
      <c r="H74" s="268">
        <f t="shared" si="30"/>
        <v>80.02</v>
      </c>
      <c r="I74" s="287">
        <v>21.5</v>
      </c>
      <c r="J74" s="268">
        <f t="shared" si="0"/>
        <v>27.28</v>
      </c>
      <c r="K74" s="292">
        <f>36.32+22.2</f>
        <v>58.52</v>
      </c>
      <c r="L74" s="268">
        <f t="shared" si="31"/>
        <v>74.239999999999995</v>
      </c>
      <c r="M74" s="268">
        <f t="shared" ref="M74" si="48">L74+J74</f>
        <v>101.52</v>
      </c>
      <c r="N74" s="268">
        <f t="shared" ref="N74" si="49">J74*G74</f>
        <v>1653.17</v>
      </c>
      <c r="O74" s="268">
        <f t="shared" ref="O74" si="50">L74*G74</f>
        <v>4498.9399999999996</v>
      </c>
      <c r="P74" s="268">
        <f t="shared" ref="P74" si="51">O74+N74</f>
        <v>6152.11</v>
      </c>
      <c r="Q74" s="269">
        <f t="shared" si="6"/>
        <v>2.3999999999999998E-3</v>
      </c>
      <c r="R74" s="44"/>
      <c r="S74" s="49">
        <f t="shared" si="7"/>
        <v>4849.21</v>
      </c>
      <c r="T74" s="126"/>
      <c r="U74" s="48"/>
      <c r="V74" s="48"/>
      <c r="W74" s="48"/>
      <c r="X74" s="48"/>
      <c r="Y74" s="48"/>
      <c r="Z74" s="48"/>
      <c r="AA74" s="48"/>
      <c r="AB74" s="48"/>
      <c r="AC74" s="48"/>
      <c r="AD74" s="48"/>
      <c r="AE74" s="48"/>
      <c r="AF74" s="48"/>
      <c r="AG74" s="48"/>
      <c r="AH74" s="48"/>
      <c r="AI74" s="48"/>
      <c r="AJ74" s="44"/>
      <c r="AK74" s="44"/>
      <c r="AL74" s="44"/>
    </row>
    <row r="75" spans="1:38" ht="27.6" x14ac:dyDescent="0.25">
      <c r="A75" s="94"/>
      <c r="B75" s="265" t="s">
        <v>119</v>
      </c>
      <c r="C75" s="266" t="s">
        <v>121</v>
      </c>
      <c r="D75" s="265" t="s">
        <v>40</v>
      </c>
      <c r="E75" s="265" t="s">
        <v>122</v>
      </c>
      <c r="F75" s="267" t="s">
        <v>65</v>
      </c>
      <c r="G75" s="277">
        <v>352.8</v>
      </c>
      <c r="H75" s="268">
        <f t="shared" si="30"/>
        <v>13.49</v>
      </c>
      <c r="I75" s="287">
        <v>2.93</v>
      </c>
      <c r="J75" s="268">
        <f t="shared" si="0"/>
        <v>3.72</v>
      </c>
      <c r="K75" s="292">
        <v>10.56</v>
      </c>
      <c r="L75" s="268">
        <f t="shared" si="31"/>
        <v>13.4</v>
      </c>
      <c r="M75" s="268">
        <f t="shared" ref="M75:M83" si="52">L75+J75</f>
        <v>17.12</v>
      </c>
      <c r="N75" s="268">
        <f t="shared" ref="N75:N83" si="53">J75*G75</f>
        <v>1312.42</v>
      </c>
      <c r="O75" s="268">
        <f t="shared" ref="O75:O83" si="54">L75*G75</f>
        <v>4727.5200000000004</v>
      </c>
      <c r="P75" s="268">
        <f t="shared" ref="P75:P83" si="55">O75+N75</f>
        <v>6039.94</v>
      </c>
      <c r="Q75" s="269">
        <f t="shared" si="6"/>
        <v>2.3999999999999998E-3</v>
      </c>
      <c r="R75" s="44"/>
      <c r="S75" s="49">
        <f t="shared" si="7"/>
        <v>4759.2700000000004</v>
      </c>
      <c r="T75" s="85"/>
      <c r="U75" s="48"/>
      <c r="V75" s="48"/>
      <c r="W75" s="48"/>
      <c r="X75" s="48"/>
      <c r="Y75" s="48"/>
      <c r="Z75" s="48"/>
      <c r="AA75" s="48"/>
      <c r="AB75" s="48"/>
      <c r="AC75" s="48"/>
      <c r="AD75" s="48"/>
      <c r="AE75" s="48"/>
      <c r="AF75" s="48"/>
      <c r="AG75" s="48"/>
      <c r="AH75" s="48"/>
      <c r="AI75" s="48"/>
      <c r="AJ75" s="44"/>
      <c r="AK75" s="44"/>
      <c r="AL75" s="44"/>
    </row>
    <row r="76" spans="1:38" ht="27.6" x14ac:dyDescent="0.25">
      <c r="A76" s="94"/>
      <c r="B76" s="265" t="s">
        <v>120</v>
      </c>
      <c r="C76" s="266" t="s">
        <v>124</v>
      </c>
      <c r="D76" s="265" t="s">
        <v>40</v>
      </c>
      <c r="E76" s="265" t="s">
        <v>125</v>
      </c>
      <c r="F76" s="267" t="s">
        <v>65</v>
      </c>
      <c r="G76" s="277">
        <v>546</v>
      </c>
      <c r="H76" s="268">
        <f t="shared" si="30"/>
        <v>13</v>
      </c>
      <c r="I76" s="287">
        <v>1.86</v>
      </c>
      <c r="J76" s="268">
        <f t="shared" si="0"/>
        <v>2.36</v>
      </c>
      <c r="K76" s="292">
        <v>11.14</v>
      </c>
      <c r="L76" s="268">
        <f t="shared" si="31"/>
        <v>14.13</v>
      </c>
      <c r="M76" s="268">
        <f t="shared" si="52"/>
        <v>16.489999999999998</v>
      </c>
      <c r="N76" s="268">
        <f t="shared" si="53"/>
        <v>1288.56</v>
      </c>
      <c r="O76" s="268">
        <f t="shared" si="54"/>
        <v>7714.98</v>
      </c>
      <c r="P76" s="268">
        <f t="shared" si="55"/>
        <v>9003.5400000000009</v>
      </c>
      <c r="Q76" s="269">
        <f t="shared" si="6"/>
        <v>3.5999999999999999E-3</v>
      </c>
      <c r="R76" s="44"/>
      <c r="S76" s="49">
        <f t="shared" si="7"/>
        <v>7098</v>
      </c>
      <c r="T76" s="126"/>
      <c r="U76" s="48"/>
      <c r="V76" s="48"/>
      <c r="W76" s="48"/>
      <c r="X76" s="48"/>
      <c r="Y76" s="48"/>
      <c r="Z76" s="48"/>
      <c r="AA76" s="48"/>
      <c r="AB76" s="48"/>
      <c r="AC76" s="48"/>
      <c r="AD76" s="48"/>
      <c r="AE76" s="48"/>
      <c r="AF76" s="48"/>
      <c r="AG76" s="48"/>
      <c r="AH76" s="48"/>
      <c r="AI76" s="48"/>
      <c r="AJ76" s="44"/>
      <c r="AK76" s="44"/>
      <c r="AL76" s="44"/>
    </row>
    <row r="77" spans="1:38" ht="27.6" x14ac:dyDescent="0.25">
      <c r="A77" s="94"/>
      <c r="B77" s="265" t="s">
        <v>123</v>
      </c>
      <c r="C77" s="266" t="s">
        <v>127</v>
      </c>
      <c r="D77" s="265" t="s">
        <v>40</v>
      </c>
      <c r="E77" s="265" t="s">
        <v>128</v>
      </c>
      <c r="F77" s="267" t="s">
        <v>65</v>
      </c>
      <c r="G77" s="277">
        <v>167.4</v>
      </c>
      <c r="H77" s="268">
        <f t="shared" si="30"/>
        <v>12.38</v>
      </c>
      <c r="I77" s="287">
        <v>1.1299999999999999</v>
      </c>
      <c r="J77" s="268">
        <f t="shared" si="0"/>
        <v>1.43</v>
      </c>
      <c r="K77" s="292">
        <v>11.25</v>
      </c>
      <c r="L77" s="268">
        <f t="shared" si="31"/>
        <v>14.27</v>
      </c>
      <c r="M77" s="268">
        <f t="shared" si="52"/>
        <v>15.7</v>
      </c>
      <c r="N77" s="268">
        <f t="shared" si="53"/>
        <v>239.38</v>
      </c>
      <c r="O77" s="268">
        <f t="shared" si="54"/>
        <v>2388.8000000000002</v>
      </c>
      <c r="P77" s="268">
        <f t="shared" si="55"/>
        <v>2628.18</v>
      </c>
      <c r="Q77" s="269">
        <f t="shared" si="6"/>
        <v>1E-3</v>
      </c>
      <c r="R77" s="44"/>
      <c r="S77" s="49">
        <f t="shared" si="7"/>
        <v>2072.41</v>
      </c>
      <c r="T77" s="85"/>
      <c r="U77" s="48"/>
      <c r="V77" s="48"/>
      <c r="W77" s="48"/>
      <c r="X77" s="48"/>
      <c r="Y77" s="48"/>
      <c r="Z77" s="48"/>
      <c r="AA77" s="48"/>
      <c r="AB77" s="48"/>
      <c r="AC77" s="48"/>
      <c r="AD77" s="48"/>
      <c r="AE77" s="48"/>
      <c r="AF77" s="48"/>
      <c r="AG77" s="48"/>
      <c r="AH77" s="48"/>
      <c r="AI77" s="48"/>
      <c r="AJ77" s="44"/>
      <c r="AK77" s="44"/>
      <c r="AL77" s="44"/>
    </row>
    <row r="78" spans="1:38" ht="27.6" x14ac:dyDescent="0.25">
      <c r="A78" s="94"/>
      <c r="B78" s="265" t="s">
        <v>126</v>
      </c>
      <c r="C78" s="266" t="s">
        <v>130</v>
      </c>
      <c r="D78" s="265" t="s">
        <v>40</v>
      </c>
      <c r="E78" s="265" t="s">
        <v>131</v>
      </c>
      <c r="F78" s="267" t="s">
        <v>65</v>
      </c>
      <c r="G78" s="277">
        <v>197.5</v>
      </c>
      <c r="H78" s="268">
        <f t="shared" si="30"/>
        <v>11.12</v>
      </c>
      <c r="I78" s="287">
        <v>0.69</v>
      </c>
      <c r="J78" s="268">
        <f t="shared" si="0"/>
        <v>0.88</v>
      </c>
      <c r="K78" s="292">
        <v>10.43</v>
      </c>
      <c r="L78" s="268">
        <f t="shared" si="31"/>
        <v>13.23</v>
      </c>
      <c r="M78" s="268">
        <f t="shared" si="52"/>
        <v>14.11</v>
      </c>
      <c r="N78" s="268">
        <f t="shared" si="53"/>
        <v>173.8</v>
      </c>
      <c r="O78" s="268">
        <f t="shared" si="54"/>
        <v>2612.9299999999998</v>
      </c>
      <c r="P78" s="268">
        <f t="shared" si="55"/>
        <v>2786.73</v>
      </c>
      <c r="Q78" s="269">
        <f t="shared" si="6"/>
        <v>1.1000000000000001E-3</v>
      </c>
      <c r="R78" s="44"/>
      <c r="S78" s="49">
        <f t="shared" si="7"/>
        <v>2196.1999999999998</v>
      </c>
      <c r="T78" s="126"/>
      <c r="U78" s="48"/>
      <c r="V78" s="48"/>
      <c r="W78" s="48"/>
      <c r="X78" s="48"/>
      <c r="Y78" s="48"/>
      <c r="Z78" s="48"/>
      <c r="AA78" s="48"/>
      <c r="AB78" s="48"/>
      <c r="AC78" s="48"/>
      <c r="AD78" s="48"/>
      <c r="AE78" s="48"/>
      <c r="AF78" s="48"/>
      <c r="AG78" s="48"/>
      <c r="AH78" s="48"/>
      <c r="AI78" s="48"/>
      <c r="AJ78" s="44"/>
      <c r="AK78" s="44"/>
      <c r="AL78" s="44"/>
    </row>
    <row r="79" spans="1:38" ht="27.6" x14ac:dyDescent="0.25">
      <c r="A79" s="94"/>
      <c r="B79" s="265" t="s">
        <v>129</v>
      </c>
      <c r="C79" s="266" t="s">
        <v>1450</v>
      </c>
      <c r="D79" s="265" t="s">
        <v>40</v>
      </c>
      <c r="E79" s="265" t="s">
        <v>1451</v>
      </c>
      <c r="F79" s="267" t="s">
        <v>65</v>
      </c>
      <c r="G79" s="277">
        <v>5.9</v>
      </c>
      <c r="H79" s="268">
        <f t="shared" si="30"/>
        <v>9.3699999999999992</v>
      </c>
      <c r="I79" s="287">
        <v>0.37</v>
      </c>
      <c r="J79" s="268">
        <f t="shared" si="0"/>
        <v>0.47</v>
      </c>
      <c r="K79" s="292">
        <v>9</v>
      </c>
      <c r="L79" s="268">
        <f t="shared" si="31"/>
        <v>11.42</v>
      </c>
      <c r="M79" s="268">
        <f t="shared" si="52"/>
        <v>11.89</v>
      </c>
      <c r="N79" s="268">
        <f t="shared" si="53"/>
        <v>2.77</v>
      </c>
      <c r="O79" s="268">
        <f t="shared" si="54"/>
        <v>67.38</v>
      </c>
      <c r="P79" s="268">
        <f t="shared" si="55"/>
        <v>70.150000000000006</v>
      </c>
      <c r="Q79" s="269">
        <f t="shared" si="6"/>
        <v>0</v>
      </c>
      <c r="R79" s="44"/>
      <c r="S79" s="49">
        <f t="shared" si="7"/>
        <v>55.28</v>
      </c>
      <c r="T79" s="126"/>
      <c r="U79" s="48"/>
      <c r="V79" s="48"/>
      <c r="W79" s="48"/>
      <c r="X79" s="48"/>
      <c r="Y79" s="48"/>
      <c r="Z79" s="48"/>
      <c r="AA79" s="48"/>
      <c r="AB79" s="48"/>
      <c r="AC79" s="48"/>
      <c r="AD79" s="48"/>
      <c r="AE79" s="48"/>
      <c r="AF79" s="48"/>
      <c r="AG79" s="48"/>
      <c r="AH79" s="48"/>
      <c r="AI79" s="48"/>
      <c r="AJ79" s="44"/>
      <c r="AK79" s="44"/>
      <c r="AL79" s="44"/>
    </row>
    <row r="80" spans="1:38" ht="27.6" x14ac:dyDescent="0.25">
      <c r="A80" s="94"/>
      <c r="B80" s="265" t="s">
        <v>132</v>
      </c>
      <c r="C80" s="266" t="s">
        <v>1002</v>
      </c>
      <c r="D80" s="265" t="s">
        <v>100</v>
      </c>
      <c r="E80" s="265" t="s">
        <v>1003</v>
      </c>
      <c r="F80" s="267" t="s">
        <v>59</v>
      </c>
      <c r="G80" s="277">
        <v>42.8</v>
      </c>
      <c r="H80" s="268">
        <f t="shared" si="30"/>
        <v>0</v>
      </c>
      <c r="I80" s="287"/>
      <c r="J80" s="268">
        <f t="shared" si="0"/>
        <v>0</v>
      </c>
      <c r="K80" s="292"/>
      <c r="L80" s="268">
        <f t="shared" si="31"/>
        <v>0</v>
      </c>
      <c r="M80" s="268">
        <f t="shared" si="52"/>
        <v>0</v>
      </c>
      <c r="N80" s="268">
        <f t="shared" si="53"/>
        <v>0</v>
      </c>
      <c r="O80" s="268">
        <f t="shared" si="54"/>
        <v>0</v>
      </c>
      <c r="P80" s="268">
        <f t="shared" si="55"/>
        <v>0</v>
      </c>
      <c r="Q80" s="269">
        <f t="shared" si="6"/>
        <v>0</v>
      </c>
      <c r="R80" s="44"/>
      <c r="S80" s="49">
        <f t="shared" si="7"/>
        <v>0</v>
      </c>
      <c r="T80" s="85"/>
      <c r="U80" s="48"/>
      <c r="V80" s="48"/>
      <c r="W80" s="48"/>
      <c r="X80" s="48"/>
      <c r="Y80" s="48"/>
      <c r="Z80" s="48"/>
      <c r="AA80" s="48"/>
      <c r="AB80" s="48"/>
      <c r="AC80" s="48"/>
      <c r="AD80" s="48"/>
      <c r="AE80" s="48"/>
      <c r="AF80" s="48"/>
      <c r="AG80" s="48"/>
      <c r="AH80" s="48"/>
      <c r="AI80" s="48"/>
      <c r="AJ80" s="44"/>
      <c r="AK80" s="44"/>
      <c r="AL80" s="44"/>
    </row>
    <row r="81" spans="1:38" x14ac:dyDescent="0.25">
      <c r="A81" s="94"/>
      <c r="B81" s="265" t="s">
        <v>133</v>
      </c>
      <c r="C81" s="266" t="s">
        <v>81</v>
      </c>
      <c r="D81" s="265" t="s">
        <v>51</v>
      </c>
      <c r="E81" s="265" t="s">
        <v>82</v>
      </c>
      <c r="F81" s="267" t="s">
        <v>59</v>
      </c>
      <c r="G81" s="277">
        <v>42.8</v>
      </c>
      <c r="H81" s="268">
        <f>H72</f>
        <v>92.53</v>
      </c>
      <c r="I81" s="287">
        <f>I72</f>
        <v>2.4500000000000002</v>
      </c>
      <c r="J81" s="268">
        <f t="shared" si="0"/>
        <v>3.11</v>
      </c>
      <c r="K81" s="292">
        <f>K72</f>
        <v>90.08</v>
      </c>
      <c r="L81" s="268">
        <f t="shared" si="31"/>
        <v>114.28</v>
      </c>
      <c r="M81" s="268">
        <f t="shared" si="52"/>
        <v>117.39</v>
      </c>
      <c r="N81" s="268">
        <f t="shared" si="53"/>
        <v>133.11000000000001</v>
      </c>
      <c r="O81" s="268">
        <f t="shared" si="54"/>
        <v>4891.18</v>
      </c>
      <c r="P81" s="268">
        <f t="shared" si="55"/>
        <v>5024.29</v>
      </c>
      <c r="Q81" s="269">
        <f t="shared" si="6"/>
        <v>2E-3</v>
      </c>
      <c r="R81" s="44"/>
      <c r="S81" s="49">
        <f t="shared" si="7"/>
        <v>3960.28</v>
      </c>
      <c r="T81" s="126"/>
      <c r="U81" s="48"/>
      <c r="V81" s="48"/>
      <c r="W81" s="48"/>
      <c r="X81" s="48"/>
      <c r="Y81" s="48"/>
      <c r="Z81" s="48"/>
      <c r="AA81" s="48"/>
      <c r="AB81" s="48"/>
      <c r="AC81" s="48"/>
      <c r="AD81" s="48"/>
      <c r="AE81" s="48"/>
      <c r="AF81" s="48"/>
      <c r="AG81" s="48"/>
      <c r="AH81" s="48"/>
      <c r="AI81" s="48"/>
      <c r="AJ81" s="44"/>
      <c r="AK81" s="44"/>
      <c r="AL81" s="44"/>
    </row>
    <row r="82" spans="1:38" x14ac:dyDescent="0.25">
      <c r="A82" s="94"/>
      <c r="B82" s="265" t="s">
        <v>516</v>
      </c>
      <c r="C82" s="266" t="s">
        <v>518</v>
      </c>
      <c r="D82" s="265" t="s">
        <v>100</v>
      </c>
      <c r="E82" s="265" t="s">
        <v>781</v>
      </c>
      <c r="F82" s="267" t="s">
        <v>41</v>
      </c>
      <c r="G82" s="277">
        <v>415.88</v>
      </c>
      <c r="H82" s="268">
        <f>CPUS!L48</f>
        <v>321.08</v>
      </c>
      <c r="I82" s="287">
        <f>CPUS!H52</f>
        <v>24.46</v>
      </c>
      <c r="J82" s="268">
        <f t="shared" si="0"/>
        <v>31.03</v>
      </c>
      <c r="K82" s="292">
        <f>H82-I82</f>
        <v>296.62</v>
      </c>
      <c r="L82" s="268">
        <f t="shared" si="31"/>
        <v>376.32</v>
      </c>
      <c r="M82" s="268">
        <f t="shared" si="52"/>
        <v>407.35</v>
      </c>
      <c r="N82" s="268">
        <f t="shared" si="53"/>
        <v>12904.76</v>
      </c>
      <c r="O82" s="268">
        <f t="shared" si="54"/>
        <v>156503.96</v>
      </c>
      <c r="P82" s="268">
        <f t="shared" si="55"/>
        <v>169408.72</v>
      </c>
      <c r="Q82" s="269">
        <f t="shared" si="6"/>
        <v>6.7000000000000004E-2</v>
      </c>
      <c r="R82" s="44"/>
      <c r="S82" s="49">
        <f t="shared" si="7"/>
        <v>133530.75</v>
      </c>
      <c r="T82" s="126"/>
      <c r="U82" s="48"/>
      <c r="V82" s="48"/>
      <c r="W82" s="48"/>
      <c r="X82" s="48"/>
      <c r="Y82" s="48"/>
      <c r="Z82" s="48"/>
      <c r="AA82" s="48"/>
      <c r="AB82" s="48"/>
      <c r="AC82" s="48"/>
      <c r="AD82" s="48"/>
      <c r="AE82" s="48"/>
      <c r="AF82" s="48"/>
      <c r="AG82" s="48"/>
      <c r="AH82" s="48"/>
      <c r="AI82" s="48"/>
      <c r="AJ82" s="44"/>
      <c r="AK82" s="44"/>
      <c r="AL82" s="44"/>
    </row>
    <row r="83" spans="1:38" ht="27.6" x14ac:dyDescent="0.25">
      <c r="A83" s="94"/>
      <c r="B83" s="265" t="s">
        <v>517</v>
      </c>
      <c r="C83" s="266" t="s">
        <v>1452</v>
      </c>
      <c r="D83" s="265" t="s">
        <v>40</v>
      </c>
      <c r="E83" s="265" t="s">
        <v>1453</v>
      </c>
      <c r="F83" s="267" t="s">
        <v>59</v>
      </c>
      <c r="G83" s="277">
        <v>1555.27</v>
      </c>
      <c r="H83" s="268">
        <f t="shared" si="30"/>
        <v>17.27</v>
      </c>
      <c r="I83" s="287">
        <v>5.12</v>
      </c>
      <c r="J83" s="268">
        <f t="shared" si="0"/>
        <v>6.5</v>
      </c>
      <c r="K83" s="292">
        <v>12.15</v>
      </c>
      <c r="L83" s="268">
        <f t="shared" si="31"/>
        <v>15.41</v>
      </c>
      <c r="M83" s="268">
        <f t="shared" si="52"/>
        <v>21.91</v>
      </c>
      <c r="N83" s="268">
        <f t="shared" si="53"/>
        <v>10109.26</v>
      </c>
      <c r="O83" s="268">
        <f t="shared" si="54"/>
        <v>23966.71</v>
      </c>
      <c r="P83" s="268">
        <f t="shared" si="55"/>
        <v>34075.97</v>
      </c>
      <c r="Q83" s="269">
        <f t="shared" si="6"/>
        <v>1.35E-2</v>
      </c>
      <c r="R83" s="44"/>
      <c r="S83" s="49">
        <f t="shared" si="7"/>
        <v>26859.51</v>
      </c>
      <c r="T83" s="85"/>
      <c r="U83" s="48"/>
      <c r="V83" s="48"/>
      <c r="W83" s="48"/>
      <c r="X83" s="48"/>
      <c r="Y83" s="48"/>
      <c r="Z83" s="48"/>
      <c r="AA83" s="48"/>
      <c r="AB83" s="48"/>
      <c r="AC83" s="48"/>
      <c r="AD83" s="48"/>
      <c r="AE83" s="48"/>
      <c r="AF83" s="48"/>
      <c r="AG83" s="48"/>
      <c r="AH83" s="48"/>
      <c r="AI83" s="48"/>
      <c r="AJ83" s="44"/>
      <c r="AK83" s="44"/>
      <c r="AL83" s="44"/>
    </row>
    <row r="84" spans="1:38" x14ac:dyDescent="0.25">
      <c r="A84" s="94"/>
      <c r="B84" s="261" t="s">
        <v>1347</v>
      </c>
      <c r="C84" s="261"/>
      <c r="D84" s="261"/>
      <c r="E84" s="261" t="s">
        <v>1348</v>
      </c>
      <c r="F84" s="261"/>
      <c r="G84" s="276"/>
      <c r="H84" s="262"/>
      <c r="I84" s="286"/>
      <c r="J84" s="261"/>
      <c r="K84" s="291"/>
      <c r="L84" s="261"/>
      <c r="M84" s="261"/>
      <c r="N84" s="261"/>
      <c r="O84" s="261"/>
      <c r="P84" s="263"/>
      <c r="Q84" s="263"/>
      <c r="R84" s="44"/>
      <c r="S84" s="49">
        <f t="shared" si="7"/>
        <v>0</v>
      </c>
      <c r="T84" s="126"/>
      <c r="U84" s="48"/>
      <c r="V84" s="48"/>
      <c r="W84" s="48"/>
      <c r="X84" s="48"/>
      <c r="Y84" s="48"/>
      <c r="Z84" s="48"/>
      <c r="AA84" s="48"/>
      <c r="AB84" s="48"/>
      <c r="AC84" s="48"/>
      <c r="AD84" s="48"/>
      <c r="AE84" s="48"/>
      <c r="AF84" s="48"/>
      <c r="AG84" s="48"/>
      <c r="AH84" s="48"/>
      <c r="AI84" s="48"/>
      <c r="AJ84" s="44"/>
      <c r="AK84" s="44"/>
      <c r="AL84" s="44"/>
    </row>
    <row r="85" spans="1:38" ht="27.6" x14ac:dyDescent="0.25">
      <c r="A85" s="94"/>
      <c r="B85" s="265" t="s">
        <v>1349</v>
      </c>
      <c r="C85" s="266" t="s">
        <v>1350</v>
      </c>
      <c r="D85" s="265" t="s">
        <v>40</v>
      </c>
      <c r="E85" s="265" t="s">
        <v>1351</v>
      </c>
      <c r="F85" s="267" t="s">
        <v>41</v>
      </c>
      <c r="G85" s="277">
        <v>6.25</v>
      </c>
      <c r="H85" s="268">
        <f t="shared" si="30"/>
        <v>241.97</v>
      </c>
      <c r="I85" s="287">
        <v>21.74</v>
      </c>
      <c r="J85" s="268">
        <f t="shared" ref="J85:J148" si="56">I85*(1+$M$9)</f>
        <v>27.58</v>
      </c>
      <c r="K85" s="292">
        <f>220.18+0.05</f>
        <v>220.23</v>
      </c>
      <c r="L85" s="268">
        <f t="shared" si="31"/>
        <v>279.41000000000003</v>
      </c>
      <c r="M85" s="268">
        <f t="shared" ref="M85" si="57">L85+J85</f>
        <v>306.99</v>
      </c>
      <c r="N85" s="268">
        <f t="shared" ref="N85" si="58">J85*G85</f>
        <v>172.38</v>
      </c>
      <c r="O85" s="268">
        <f t="shared" ref="O85" si="59">L85*G85</f>
        <v>1746.31</v>
      </c>
      <c r="P85" s="268">
        <f t="shared" ref="P85" si="60">O85+N85</f>
        <v>1918.69</v>
      </c>
      <c r="Q85" s="269">
        <f t="shared" ref="Q85:Q148" si="61">P85/$O$485</f>
        <v>8.0000000000000004E-4</v>
      </c>
      <c r="R85" s="44"/>
      <c r="S85" s="49">
        <f t="shared" ref="S85:S148" si="62">G85*H85</f>
        <v>1512.31</v>
      </c>
      <c r="T85" s="85"/>
      <c r="U85" s="48"/>
      <c r="V85" s="48"/>
      <c r="W85" s="48"/>
      <c r="X85" s="48"/>
      <c r="Y85" s="48"/>
      <c r="Z85" s="48"/>
      <c r="AA85" s="48"/>
      <c r="AB85" s="48"/>
      <c r="AC85" s="48"/>
      <c r="AD85" s="48"/>
      <c r="AE85" s="48"/>
      <c r="AF85" s="48"/>
      <c r="AG85" s="48"/>
      <c r="AH85" s="48"/>
      <c r="AI85" s="48"/>
      <c r="AJ85" s="44"/>
      <c r="AK85" s="44"/>
      <c r="AL85" s="44"/>
    </row>
    <row r="86" spans="1:38" x14ac:dyDescent="0.25">
      <c r="A86" s="94"/>
      <c r="B86" s="261">
        <v>4</v>
      </c>
      <c r="C86" s="261"/>
      <c r="D86" s="261"/>
      <c r="E86" s="261" t="s">
        <v>519</v>
      </c>
      <c r="F86" s="261"/>
      <c r="G86" s="276"/>
      <c r="H86" s="262"/>
      <c r="I86" s="286"/>
      <c r="J86" s="261"/>
      <c r="K86" s="291"/>
      <c r="L86" s="261"/>
      <c r="M86" s="261"/>
      <c r="N86" s="261"/>
      <c r="O86" s="261"/>
      <c r="P86" s="263"/>
      <c r="Q86" s="263"/>
      <c r="R86" s="44"/>
      <c r="S86" s="49">
        <f t="shared" si="62"/>
        <v>0</v>
      </c>
      <c r="T86" s="126"/>
      <c r="U86" s="48"/>
      <c r="V86" s="48"/>
      <c r="W86" s="48"/>
      <c r="X86" s="48"/>
      <c r="Y86" s="48"/>
      <c r="Z86" s="48"/>
      <c r="AA86" s="48"/>
      <c r="AB86" s="48"/>
      <c r="AC86" s="48"/>
      <c r="AD86" s="48"/>
      <c r="AE86" s="48"/>
      <c r="AF86" s="48"/>
      <c r="AG86" s="48"/>
      <c r="AH86" s="48"/>
      <c r="AI86" s="48"/>
      <c r="AJ86" s="44"/>
      <c r="AK86" s="44"/>
      <c r="AL86" s="44"/>
    </row>
    <row r="87" spans="1:38" x14ac:dyDescent="0.25">
      <c r="A87" s="94"/>
      <c r="B87" s="261" t="s">
        <v>134</v>
      </c>
      <c r="C87" s="261"/>
      <c r="D87" s="261"/>
      <c r="E87" s="261" t="s">
        <v>520</v>
      </c>
      <c r="F87" s="261"/>
      <c r="G87" s="276"/>
      <c r="H87" s="262"/>
      <c r="I87" s="286"/>
      <c r="J87" s="261"/>
      <c r="K87" s="291"/>
      <c r="L87" s="261"/>
      <c r="M87" s="261"/>
      <c r="N87" s="261"/>
      <c r="O87" s="261"/>
      <c r="P87" s="263"/>
      <c r="Q87" s="263"/>
      <c r="R87" s="44"/>
      <c r="S87" s="49">
        <f t="shared" si="62"/>
        <v>0</v>
      </c>
      <c r="T87" s="85"/>
      <c r="U87" s="48"/>
      <c r="V87" s="48"/>
      <c r="W87" s="48"/>
      <c r="X87" s="48"/>
      <c r="Y87" s="48"/>
      <c r="Z87" s="48"/>
      <c r="AA87" s="48"/>
      <c r="AB87" s="48"/>
      <c r="AC87" s="48"/>
      <c r="AD87" s="48"/>
      <c r="AE87" s="48"/>
      <c r="AF87" s="48"/>
      <c r="AG87" s="48"/>
      <c r="AH87" s="48"/>
      <c r="AI87" s="48"/>
      <c r="AJ87" s="44"/>
      <c r="AK87" s="44"/>
      <c r="AL87" s="44"/>
    </row>
    <row r="88" spans="1:38" ht="27.6" x14ac:dyDescent="0.25">
      <c r="A88" s="94"/>
      <c r="B88" s="265" t="s">
        <v>521</v>
      </c>
      <c r="C88" s="266" t="s">
        <v>1194</v>
      </c>
      <c r="D88" s="265" t="s">
        <v>40</v>
      </c>
      <c r="E88" s="265" t="s">
        <v>1195</v>
      </c>
      <c r="F88" s="267" t="s">
        <v>41</v>
      </c>
      <c r="G88" s="277">
        <v>11.17</v>
      </c>
      <c r="H88" s="268">
        <f t="shared" ref="H88:H100" si="63">I88+K88</f>
        <v>50.79</v>
      </c>
      <c r="I88" s="287">
        <v>15.81</v>
      </c>
      <c r="J88" s="268">
        <f t="shared" si="56"/>
        <v>20.059999999999999</v>
      </c>
      <c r="K88" s="292">
        <f>34.97+0.01</f>
        <v>34.979999999999997</v>
      </c>
      <c r="L88" s="268">
        <f t="shared" ref="L88:L102" si="64">K88*(1+$M$9)</f>
        <v>44.38</v>
      </c>
      <c r="M88" s="268">
        <f t="shared" ref="M88" si="65">L88+J88</f>
        <v>64.44</v>
      </c>
      <c r="N88" s="268">
        <f t="shared" ref="N88" si="66">J88*G88</f>
        <v>224.07</v>
      </c>
      <c r="O88" s="268">
        <f t="shared" ref="O88" si="67">L88*G88</f>
        <v>495.72</v>
      </c>
      <c r="P88" s="268">
        <f t="shared" ref="P88" si="68">O88+N88</f>
        <v>719.79</v>
      </c>
      <c r="Q88" s="269">
        <f t="shared" si="61"/>
        <v>2.9999999999999997E-4</v>
      </c>
      <c r="R88" s="44"/>
      <c r="S88" s="49">
        <f t="shared" si="62"/>
        <v>567.32000000000005</v>
      </c>
      <c r="T88" s="126"/>
      <c r="U88" s="48"/>
      <c r="V88" s="48"/>
      <c r="W88" s="48"/>
      <c r="X88" s="48"/>
      <c r="Y88" s="48"/>
      <c r="Z88" s="48"/>
      <c r="AA88" s="48"/>
      <c r="AB88" s="48"/>
      <c r="AC88" s="48"/>
      <c r="AD88" s="48"/>
      <c r="AE88" s="48"/>
      <c r="AF88" s="48"/>
      <c r="AG88" s="48"/>
      <c r="AH88" s="48"/>
      <c r="AI88" s="48"/>
      <c r="AJ88" s="44"/>
      <c r="AK88" s="44"/>
      <c r="AL88" s="44"/>
    </row>
    <row r="89" spans="1:38" ht="27.6" x14ac:dyDescent="0.25">
      <c r="A89" s="94"/>
      <c r="B89" s="265" t="s">
        <v>522</v>
      </c>
      <c r="C89" s="266" t="s">
        <v>1196</v>
      </c>
      <c r="D89" s="265" t="s">
        <v>40</v>
      </c>
      <c r="E89" s="265" t="s">
        <v>1197</v>
      </c>
      <c r="F89" s="267" t="s">
        <v>41</v>
      </c>
      <c r="G89" s="277">
        <v>1009.97</v>
      </c>
      <c r="H89" s="268">
        <f t="shared" si="63"/>
        <v>67.48</v>
      </c>
      <c r="I89" s="287">
        <v>22.8</v>
      </c>
      <c r="J89" s="268">
        <f t="shared" si="56"/>
        <v>28.93</v>
      </c>
      <c r="K89" s="292">
        <f>44.66+0.01+0.01</f>
        <v>44.68</v>
      </c>
      <c r="L89" s="268">
        <f t="shared" si="64"/>
        <v>56.69</v>
      </c>
      <c r="M89" s="268">
        <f t="shared" ref="M89:M93" si="69">L89+J89</f>
        <v>85.62</v>
      </c>
      <c r="N89" s="268">
        <f t="shared" ref="N89:N93" si="70">J89*G89</f>
        <v>29218.43</v>
      </c>
      <c r="O89" s="268">
        <f t="shared" ref="O89:O93" si="71">L89*G89</f>
        <v>57255.199999999997</v>
      </c>
      <c r="P89" s="268">
        <f t="shared" ref="P89:P93" si="72">O89+N89</f>
        <v>86473.63</v>
      </c>
      <c r="Q89" s="269">
        <f t="shared" si="61"/>
        <v>3.4200000000000001E-2</v>
      </c>
      <c r="R89" s="44"/>
      <c r="S89" s="49">
        <f t="shared" si="62"/>
        <v>68152.78</v>
      </c>
      <c r="T89" s="85"/>
      <c r="U89" s="48"/>
      <c r="V89" s="48"/>
      <c r="W89" s="48"/>
      <c r="X89" s="48"/>
      <c r="Y89" s="48"/>
      <c r="Z89" s="48"/>
      <c r="AA89" s="48"/>
      <c r="AB89" s="48"/>
      <c r="AC89" s="48"/>
      <c r="AD89" s="48"/>
      <c r="AE89" s="48"/>
      <c r="AF89" s="48"/>
      <c r="AG89" s="48"/>
      <c r="AH89" s="48"/>
      <c r="AI89" s="48"/>
      <c r="AJ89" s="44"/>
      <c r="AK89" s="44"/>
      <c r="AL89" s="44"/>
    </row>
    <row r="90" spans="1:38" x14ac:dyDescent="0.25">
      <c r="A90" s="94"/>
      <c r="B90" s="265" t="s">
        <v>523</v>
      </c>
      <c r="C90" s="266" t="s">
        <v>796</v>
      </c>
      <c r="D90" s="265" t="s">
        <v>146</v>
      </c>
      <c r="E90" s="265" t="s">
        <v>797</v>
      </c>
      <c r="F90" s="267" t="s">
        <v>41</v>
      </c>
      <c r="G90" s="277">
        <v>137.80000000000001</v>
      </c>
      <c r="H90" s="268">
        <v>205.4</v>
      </c>
      <c r="I90" s="287">
        <f>7.14+7.33+35.96+25.66</f>
        <v>76.09</v>
      </c>
      <c r="J90" s="268">
        <f t="shared" si="56"/>
        <v>96.54</v>
      </c>
      <c r="K90" s="292">
        <f>H90-I90</f>
        <v>129.31</v>
      </c>
      <c r="L90" s="268">
        <f t="shared" si="64"/>
        <v>164.06</v>
      </c>
      <c r="M90" s="268">
        <f t="shared" si="69"/>
        <v>260.60000000000002</v>
      </c>
      <c r="N90" s="268">
        <f t="shared" si="70"/>
        <v>13303.21</v>
      </c>
      <c r="O90" s="268">
        <f t="shared" si="71"/>
        <v>22607.47</v>
      </c>
      <c r="P90" s="268">
        <f t="shared" si="72"/>
        <v>35910.68</v>
      </c>
      <c r="Q90" s="269">
        <f t="shared" si="61"/>
        <v>1.4200000000000001E-2</v>
      </c>
      <c r="R90" s="44"/>
      <c r="S90" s="49">
        <f t="shared" si="62"/>
        <v>28304.12</v>
      </c>
      <c r="T90" s="126"/>
      <c r="U90" s="48"/>
      <c r="V90" s="48"/>
      <c r="W90" s="48"/>
      <c r="X90" s="48"/>
      <c r="Y90" s="48"/>
      <c r="Z90" s="48"/>
      <c r="AA90" s="48"/>
      <c r="AB90" s="48"/>
      <c r="AC90" s="48"/>
      <c r="AD90" s="48"/>
      <c r="AE90" s="48"/>
      <c r="AF90" s="48"/>
      <c r="AG90" s="48"/>
      <c r="AH90" s="48"/>
      <c r="AI90" s="48"/>
      <c r="AJ90" s="44"/>
      <c r="AK90" s="44"/>
      <c r="AL90" s="44"/>
    </row>
    <row r="91" spans="1:38" x14ac:dyDescent="0.25">
      <c r="A91" s="94"/>
      <c r="B91" s="265" t="s">
        <v>524</v>
      </c>
      <c r="C91" s="266" t="s">
        <v>137</v>
      </c>
      <c r="D91" s="265" t="s">
        <v>40</v>
      </c>
      <c r="E91" s="265" t="s">
        <v>1006</v>
      </c>
      <c r="F91" s="267" t="s">
        <v>55</v>
      </c>
      <c r="G91" s="277">
        <v>134.25</v>
      </c>
      <c r="H91" s="268">
        <f t="shared" si="63"/>
        <v>66.709999999999994</v>
      </c>
      <c r="I91" s="287">
        <v>14.58</v>
      </c>
      <c r="J91" s="268">
        <f t="shared" si="56"/>
        <v>18.5</v>
      </c>
      <c r="K91" s="292">
        <f>52.07+0.02+0.04</f>
        <v>52.13</v>
      </c>
      <c r="L91" s="268">
        <f t="shared" si="64"/>
        <v>66.14</v>
      </c>
      <c r="M91" s="268">
        <f t="shared" si="69"/>
        <v>84.64</v>
      </c>
      <c r="N91" s="268">
        <f t="shared" si="70"/>
        <v>2483.63</v>
      </c>
      <c r="O91" s="268">
        <f t="shared" si="71"/>
        <v>8879.2999999999993</v>
      </c>
      <c r="P91" s="268">
        <f t="shared" si="72"/>
        <v>11362.93</v>
      </c>
      <c r="Q91" s="269">
        <f t="shared" si="61"/>
        <v>4.4999999999999997E-3</v>
      </c>
      <c r="R91" s="44"/>
      <c r="S91" s="49">
        <f t="shared" si="62"/>
        <v>8955.82</v>
      </c>
      <c r="T91" s="126"/>
      <c r="U91" s="48"/>
      <c r="V91" s="48"/>
      <c r="W91" s="48"/>
      <c r="X91" s="48"/>
      <c r="Y91" s="48"/>
      <c r="Z91" s="48"/>
      <c r="AA91" s="48"/>
      <c r="AB91" s="48"/>
      <c r="AC91" s="48"/>
      <c r="AD91" s="48"/>
      <c r="AE91" s="48"/>
      <c r="AF91" s="48"/>
      <c r="AG91" s="48"/>
      <c r="AH91" s="48"/>
      <c r="AI91" s="48"/>
      <c r="AJ91" s="44"/>
      <c r="AK91" s="44"/>
      <c r="AL91" s="44"/>
    </row>
    <row r="92" spans="1:38" ht="27.6" x14ac:dyDescent="0.25">
      <c r="A92" s="94"/>
      <c r="B92" s="265" t="s">
        <v>525</v>
      </c>
      <c r="C92" s="266" t="s">
        <v>138</v>
      </c>
      <c r="D92" s="265" t="s">
        <v>40</v>
      </c>
      <c r="E92" s="265" t="s">
        <v>1007</v>
      </c>
      <c r="F92" s="267" t="s">
        <v>55</v>
      </c>
      <c r="G92" s="277">
        <v>86.3</v>
      </c>
      <c r="H92" s="268">
        <f t="shared" si="63"/>
        <v>47.38</v>
      </c>
      <c r="I92" s="287">
        <v>9.6999999999999993</v>
      </c>
      <c r="J92" s="268">
        <f t="shared" si="56"/>
        <v>12.31</v>
      </c>
      <c r="K92" s="292">
        <f>37.62+0.02+0.04</f>
        <v>37.68</v>
      </c>
      <c r="L92" s="268">
        <f t="shared" si="64"/>
        <v>47.8</v>
      </c>
      <c r="M92" s="268">
        <f t="shared" si="69"/>
        <v>60.11</v>
      </c>
      <c r="N92" s="268">
        <f t="shared" si="70"/>
        <v>1062.3499999999999</v>
      </c>
      <c r="O92" s="268">
        <f t="shared" si="71"/>
        <v>4125.1400000000003</v>
      </c>
      <c r="P92" s="268">
        <f t="shared" si="72"/>
        <v>5187.49</v>
      </c>
      <c r="Q92" s="269">
        <f t="shared" si="61"/>
        <v>2.0999999999999999E-3</v>
      </c>
      <c r="R92" s="44"/>
      <c r="S92" s="49">
        <f t="shared" si="62"/>
        <v>4088.89</v>
      </c>
      <c r="T92" s="85"/>
      <c r="U92" s="48"/>
      <c r="V92" s="48"/>
      <c r="W92" s="48"/>
      <c r="X92" s="48"/>
      <c r="Y92" s="48"/>
      <c r="Z92" s="48"/>
      <c r="AA92" s="48"/>
      <c r="AB92" s="48"/>
      <c r="AC92" s="48"/>
      <c r="AD92" s="48"/>
      <c r="AE92" s="48"/>
      <c r="AF92" s="48"/>
      <c r="AG92" s="48"/>
      <c r="AH92" s="48"/>
      <c r="AI92" s="48"/>
      <c r="AJ92" s="44"/>
      <c r="AK92" s="44"/>
      <c r="AL92" s="44"/>
    </row>
    <row r="93" spans="1:38" ht="27.6" x14ac:dyDescent="0.25">
      <c r="A93" s="94"/>
      <c r="B93" s="265" t="s">
        <v>526</v>
      </c>
      <c r="C93" s="266">
        <v>93200</v>
      </c>
      <c r="D93" s="265" t="s">
        <v>40</v>
      </c>
      <c r="E93" s="265" t="s">
        <v>1645</v>
      </c>
      <c r="F93" s="267" t="s">
        <v>55</v>
      </c>
      <c r="G93" s="277">
        <v>451.95</v>
      </c>
      <c r="H93" s="268">
        <f t="shared" si="63"/>
        <v>10.32</v>
      </c>
      <c r="I93" s="287">
        <v>6.52</v>
      </c>
      <c r="J93" s="268">
        <f t="shared" si="56"/>
        <v>8.27</v>
      </c>
      <c r="K93" s="292">
        <f>0.01+3.79</f>
        <v>3.8</v>
      </c>
      <c r="L93" s="268">
        <f t="shared" si="64"/>
        <v>4.82</v>
      </c>
      <c r="M93" s="268">
        <f t="shared" si="69"/>
        <v>13.09</v>
      </c>
      <c r="N93" s="268">
        <f t="shared" si="70"/>
        <v>3737.63</v>
      </c>
      <c r="O93" s="268">
        <f t="shared" si="71"/>
        <v>2178.4</v>
      </c>
      <c r="P93" s="268">
        <f t="shared" si="72"/>
        <v>5916.03</v>
      </c>
      <c r="Q93" s="269">
        <f t="shared" si="61"/>
        <v>2.3E-3</v>
      </c>
      <c r="R93" s="44"/>
      <c r="S93" s="49">
        <f t="shared" si="62"/>
        <v>4664.12</v>
      </c>
      <c r="T93" s="126"/>
      <c r="U93" s="48"/>
      <c r="V93" s="48"/>
      <c r="W93" s="48"/>
      <c r="X93" s="48"/>
      <c r="Y93" s="48"/>
      <c r="Z93" s="48"/>
      <c r="AA93" s="48"/>
      <c r="AB93" s="48"/>
      <c r="AC93" s="48"/>
      <c r="AD93" s="48"/>
      <c r="AE93" s="48"/>
      <c r="AF93" s="48"/>
      <c r="AG93" s="48"/>
      <c r="AH93" s="48"/>
      <c r="AI93" s="48"/>
      <c r="AJ93" s="44"/>
      <c r="AK93" s="44"/>
      <c r="AL93" s="44"/>
    </row>
    <row r="94" spans="1:38" x14ac:dyDescent="0.25">
      <c r="A94" s="94"/>
      <c r="B94" s="261" t="s">
        <v>135</v>
      </c>
      <c r="C94" s="261"/>
      <c r="D94" s="261"/>
      <c r="E94" s="261" t="s">
        <v>798</v>
      </c>
      <c r="F94" s="261"/>
      <c r="G94" s="276"/>
      <c r="H94" s="262"/>
      <c r="I94" s="286"/>
      <c r="J94" s="261"/>
      <c r="K94" s="291"/>
      <c r="L94" s="261"/>
      <c r="M94" s="261"/>
      <c r="N94" s="261"/>
      <c r="O94" s="261"/>
      <c r="P94" s="263"/>
      <c r="Q94" s="263"/>
      <c r="R94" s="44"/>
      <c r="S94" s="49">
        <f t="shared" si="62"/>
        <v>0</v>
      </c>
      <c r="T94" s="126"/>
      <c r="U94" s="48"/>
      <c r="V94" s="48"/>
      <c r="W94" s="48"/>
      <c r="X94" s="48"/>
      <c r="Y94" s="48"/>
      <c r="Z94" s="48"/>
      <c r="AA94" s="48"/>
      <c r="AB94" s="48"/>
      <c r="AC94" s="48"/>
      <c r="AD94" s="48"/>
      <c r="AE94" s="48"/>
      <c r="AF94" s="48"/>
      <c r="AG94" s="48"/>
      <c r="AH94" s="48"/>
      <c r="AI94" s="48"/>
      <c r="AJ94" s="44"/>
      <c r="AK94" s="44"/>
      <c r="AL94" s="44"/>
    </row>
    <row r="95" spans="1:38" ht="41.4" x14ac:dyDescent="0.25">
      <c r="A95" s="94"/>
      <c r="B95" s="265" t="s">
        <v>527</v>
      </c>
      <c r="C95" s="266" t="s">
        <v>528</v>
      </c>
      <c r="D95" s="265" t="s">
        <v>40</v>
      </c>
      <c r="E95" s="265" t="s">
        <v>529</v>
      </c>
      <c r="F95" s="267" t="s">
        <v>41</v>
      </c>
      <c r="G95" s="277">
        <v>50.01</v>
      </c>
      <c r="H95" s="268">
        <f t="shared" si="63"/>
        <v>93.55</v>
      </c>
      <c r="I95" s="287">
        <v>12.51</v>
      </c>
      <c r="J95" s="268">
        <f t="shared" si="56"/>
        <v>15.87</v>
      </c>
      <c r="K95" s="292">
        <v>81.040000000000006</v>
      </c>
      <c r="L95" s="268">
        <f t="shared" si="64"/>
        <v>102.82</v>
      </c>
      <c r="M95" s="268">
        <f t="shared" ref="M95" si="73">L95+J95</f>
        <v>118.69</v>
      </c>
      <c r="N95" s="268">
        <f t="shared" ref="N95" si="74">J95*G95</f>
        <v>793.66</v>
      </c>
      <c r="O95" s="268">
        <f t="shared" ref="O95" si="75">L95*G95</f>
        <v>5142.03</v>
      </c>
      <c r="P95" s="268">
        <f t="shared" ref="P95" si="76">O95+N95</f>
        <v>5935.69</v>
      </c>
      <c r="Q95" s="269">
        <f t="shared" si="61"/>
        <v>2.3E-3</v>
      </c>
      <c r="R95" s="44"/>
      <c r="S95" s="49">
        <f t="shared" si="62"/>
        <v>4678.4399999999996</v>
      </c>
      <c r="T95" s="85"/>
      <c r="U95" s="48"/>
      <c r="V95" s="48"/>
      <c r="W95" s="48"/>
      <c r="X95" s="48"/>
      <c r="Y95" s="48"/>
      <c r="Z95" s="48"/>
      <c r="AA95" s="48"/>
      <c r="AB95" s="48"/>
      <c r="AC95" s="48"/>
      <c r="AD95" s="48"/>
      <c r="AE95" s="48"/>
      <c r="AF95" s="48"/>
      <c r="AG95" s="48"/>
      <c r="AH95" s="48"/>
      <c r="AI95" s="48"/>
      <c r="AJ95" s="44"/>
      <c r="AK95" s="44"/>
      <c r="AL95" s="44"/>
    </row>
    <row r="96" spans="1:38" ht="41.4" x14ac:dyDescent="0.25">
      <c r="A96" s="94"/>
      <c r="B96" s="265" t="s">
        <v>530</v>
      </c>
      <c r="C96" s="266" t="s">
        <v>958</v>
      </c>
      <c r="D96" s="265" t="s">
        <v>100</v>
      </c>
      <c r="E96" s="265" t="s">
        <v>959</v>
      </c>
      <c r="F96" s="267" t="s">
        <v>41</v>
      </c>
      <c r="G96" s="277">
        <v>180.11</v>
      </c>
      <c r="H96" s="268">
        <f>CPUS!L56</f>
        <v>106</v>
      </c>
      <c r="I96" s="287">
        <f>CPUS!H68</f>
        <v>15.74</v>
      </c>
      <c r="J96" s="268">
        <f t="shared" si="56"/>
        <v>19.97</v>
      </c>
      <c r="K96" s="292">
        <f>H96-I96</f>
        <v>90.26</v>
      </c>
      <c r="L96" s="268">
        <f t="shared" si="64"/>
        <v>114.51</v>
      </c>
      <c r="M96" s="268">
        <f t="shared" ref="M96:M98" si="77">L96+J96</f>
        <v>134.47999999999999</v>
      </c>
      <c r="N96" s="268">
        <f t="shared" ref="N96:N98" si="78">J96*G96</f>
        <v>3596.8</v>
      </c>
      <c r="O96" s="268">
        <f t="shared" ref="O96:O98" si="79">L96*G96</f>
        <v>20624.400000000001</v>
      </c>
      <c r="P96" s="268">
        <f t="shared" ref="P96:P98" si="80">O96+N96</f>
        <v>24221.200000000001</v>
      </c>
      <c r="Q96" s="269">
        <f t="shared" si="61"/>
        <v>9.5999999999999992E-3</v>
      </c>
      <c r="R96" s="44"/>
      <c r="S96" s="49">
        <f t="shared" si="62"/>
        <v>19091.66</v>
      </c>
      <c r="T96" s="126"/>
      <c r="U96" s="48"/>
      <c r="V96" s="48"/>
      <c r="W96" s="48"/>
      <c r="X96" s="48"/>
      <c r="Y96" s="48"/>
      <c r="Z96" s="48"/>
      <c r="AA96" s="48"/>
      <c r="AB96" s="48"/>
      <c r="AC96" s="48"/>
      <c r="AD96" s="48"/>
      <c r="AE96" s="48"/>
      <c r="AF96" s="48"/>
      <c r="AG96" s="48"/>
      <c r="AH96" s="48"/>
      <c r="AI96" s="48"/>
      <c r="AJ96" s="44"/>
      <c r="AK96" s="44"/>
      <c r="AL96" s="44"/>
    </row>
    <row r="97" spans="1:38" ht="41.4" x14ac:dyDescent="0.25">
      <c r="A97" s="94"/>
      <c r="B97" s="265" t="s">
        <v>531</v>
      </c>
      <c r="C97" s="266" t="s">
        <v>1008</v>
      </c>
      <c r="D97" s="265" t="s">
        <v>100</v>
      </c>
      <c r="E97" s="265" t="s">
        <v>1009</v>
      </c>
      <c r="F97" s="267" t="s">
        <v>41</v>
      </c>
      <c r="G97" s="277">
        <v>114.28</v>
      </c>
      <c r="H97" s="268">
        <f>CPUS!L72</f>
        <v>175.68</v>
      </c>
      <c r="I97" s="287">
        <f>CPUS!H85</f>
        <v>15.74</v>
      </c>
      <c r="J97" s="268">
        <f t="shared" si="56"/>
        <v>19.97</v>
      </c>
      <c r="K97" s="292">
        <f>H97-I97</f>
        <v>159.94</v>
      </c>
      <c r="L97" s="268">
        <f t="shared" si="64"/>
        <v>202.92</v>
      </c>
      <c r="M97" s="268">
        <f t="shared" si="77"/>
        <v>222.89</v>
      </c>
      <c r="N97" s="268">
        <f t="shared" si="78"/>
        <v>2282.17</v>
      </c>
      <c r="O97" s="268">
        <f t="shared" si="79"/>
        <v>23189.7</v>
      </c>
      <c r="P97" s="268">
        <f t="shared" si="80"/>
        <v>25471.87</v>
      </c>
      <c r="Q97" s="269">
        <f t="shared" si="61"/>
        <v>1.01E-2</v>
      </c>
      <c r="R97" s="44"/>
      <c r="S97" s="49">
        <f t="shared" si="62"/>
        <v>20076.71</v>
      </c>
      <c r="T97" s="85"/>
      <c r="U97" s="48"/>
      <c r="V97" s="48"/>
      <c r="W97" s="48"/>
      <c r="X97" s="48"/>
      <c r="Y97" s="48"/>
      <c r="Z97" s="48"/>
      <c r="AA97" s="48"/>
      <c r="AB97" s="48"/>
      <c r="AC97" s="48"/>
      <c r="AD97" s="48"/>
      <c r="AE97" s="48"/>
      <c r="AF97" s="48"/>
      <c r="AG97" s="48"/>
      <c r="AH97" s="48"/>
      <c r="AI97" s="48"/>
      <c r="AJ97" s="44"/>
      <c r="AK97" s="44"/>
      <c r="AL97" s="44"/>
    </row>
    <row r="98" spans="1:38" ht="41.4" x14ac:dyDescent="0.25">
      <c r="A98" s="94"/>
      <c r="B98" s="265" t="s">
        <v>885</v>
      </c>
      <c r="C98" s="266" t="s">
        <v>1010</v>
      </c>
      <c r="D98" s="265" t="s">
        <v>100</v>
      </c>
      <c r="E98" s="265" t="s">
        <v>1011</v>
      </c>
      <c r="F98" s="267" t="s">
        <v>41</v>
      </c>
      <c r="G98" s="277">
        <v>78.569999999999993</v>
      </c>
      <c r="H98" s="268">
        <f>CPUS!L89</f>
        <v>175.68</v>
      </c>
      <c r="I98" s="287">
        <f>CPUS!H102</f>
        <v>15.74</v>
      </c>
      <c r="J98" s="268">
        <f t="shared" si="56"/>
        <v>19.97</v>
      </c>
      <c r="K98" s="292">
        <f>H98-I98</f>
        <v>159.94</v>
      </c>
      <c r="L98" s="268">
        <f t="shared" si="64"/>
        <v>202.92</v>
      </c>
      <c r="M98" s="268">
        <f t="shared" si="77"/>
        <v>222.89</v>
      </c>
      <c r="N98" s="268">
        <f t="shared" si="78"/>
        <v>1569.04</v>
      </c>
      <c r="O98" s="268">
        <f t="shared" si="79"/>
        <v>15943.42</v>
      </c>
      <c r="P98" s="268">
        <f t="shared" si="80"/>
        <v>17512.46</v>
      </c>
      <c r="Q98" s="269">
        <f t="shared" si="61"/>
        <v>6.8999999999999999E-3</v>
      </c>
      <c r="R98" s="44"/>
      <c r="S98" s="49">
        <f t="shared" si="62"/>
        <v>13803.18</v>
      </c>
      <c r="T98" s="126"/>
      <c r="U98" s="48"/>
      <c r="V98" s="48"/>
      <c r="W98" s="48"/>
      <c r="X98" s="48"/>
      <c r="Y98" s="48"/>
      <c r="Z98" s="48"/>
      <c r="AA98" s="48"/>
      <c r="AB98" s="48"/>
      <c r="AC98" s="48"/>
      <c r="AD98" s="48"/>
      <c r="AE98" s="48"/>
      <c r="AF98" s="48"/>
      <c r="AG98" s="48"/>
      <c r="AH98" s="48"/>
      <c r="AI98" s="48"/>
      <c r="AJ98" s="44"/>
      <c r="AK98" s="44"/>
      <c r="AL98" s="44"/>
    </row>
    <row r="99" spans="1:38" x14ac:dyDescent="0.25">
      <c r="A99" s="94"/>
      <c r="B99" s="261" t="s">
        <v>136</v>
      </c>
      <c r="C99" s="261"/>
      <c r="D99" s="261"/>
      <c r="E99" s="261" t="s">
        <v>270</v>
      </c>
      <c r="F99" s="261"/>
      <c r="G99" s="276"/>
      <c r="H99" s="262"/>
      <c r="I99" s="286"/>
      <c r="J99" s="261"/>
      <c r="K99" s="291"/>
      <c r="L99" s="261"/>
      <c r="M99" s="261"/>
      <c r="N99" s="261"/>
      <c r="O99" s="261"/>
      <c r="P99" s="263"/>
      <c r="Q99" s="263"/>
      <c r="R99" s="44"/>
      <c r="S99" s="49">
        <f t="shared" si="62"/>
        <v>0</v>
      </c>
      <c r="T99" s="126"/>
      <c r="U99" s="48"/>
      <c r="V99" s="48"/>
      <c r="W99" s="48"/>
      <c r="X99" s="48"/>
      <c r="Y99" s="48"/>
      <c r="Z99" s="48"/>
      <c r="AA99" s="48"/>
      <c r="AB99" s="48"/>
      <c r="AC99" s="48"/>
      <c r="AD99" s="48"/>
      <c r="AE99" s="48"/>
      <c r="AF99" s="48"/>
      <c r="AG99" s="48"/>
      <c r="AH99" s="48"/>
      <c r="AI99" s="48"/>
      <c r="AJ99" s="44"/>
      <c r="AK99" s="44"/>
      <c r="AL99" s="44"/>
    </row>
    <row r="100" spans="1:38" ht="27.6" x14ac:dyDescent="0.25">
      <c r="A100" s="94"/>
      <c r="B100" s="265" t="s">
        <v>532</v>
      </c>
      <c r="C100" s="266" t="s">
        <v>272</v>
      </c>
      <c r="D100" s="265" t="s">
        <v>40</v>
      </c>
      <c r="E100" s="265" t="s">
        <v>273</v>
      </c>
      <c r="F100" s="267" t="s">
        <v>41</v>
      </c>
      <c r="G100" s="277">
        <v>0.4</v>
      </c>
      <c r="H100" s="268">
        <f t="shared" si="63"/>
        <v>317.23</v>
      </c>
      <c r="I100" s="287">
        <v>56.94</v>
      </c>
      <c r="J100" s="268">
        <f t="shared" si="56"/>
        <v>72.239999999999995</v>
      </c>
      <c r="K100" s="292">
        <f>0.14+260.1+0.05</f>
        <v>260.29000000000002</v>
      </c>
      <c r="L100" s="268">
        <f t="shared" si="64"/>
        <v>330.23</v>
      </c>
      <c r="M100" s="268">
        <f t="shared" ref="M100" si="81">L100+J100</f>
        <v>402.47</v>
      </c>
      <c r="N100" s="268">
        <f t="shared" ref="N100" si="82">J100*G100</f>
        <v>28.9</v>
      </c>
      <c r="O100" s="268">
        <f t="shared" ref="O100" si="83">L100*G100</f>
        <v>132.09</v>
      </c>
      <c r="P100" s="268">
        <f t="shared" ref="P100" si="84">O100+N100</f>
        <v>160.99</v>
      </c>
      <c r="Q100" s="269">
        <f t="shared" si="61"/>
        <v>1E-4</v>
      </c>
      <c r="R100" s="44"/>
      <c r="S100" s="49">
        <f t="shared" si="62"/>
        <v>126.89</v>
      </c>
      <c r="T100" s="126"/>
      <c r="U100" s="48"/>
      <c r="V100" s="48"/>
      <c r="W100" s="48"/>
      <c r="X100" s="48"/>
      <c r="Y100" s="48"/>
      <c r="Z100" s="48"/>
      <c r="AA100" s="48"/>
      <c r="AB100" s="48"/>
      <c r="AC100" s="48"/>
      <c r="AD100" s="48"/>
      <c r="AE100" s="48"/>
      <c r="AF100" s="48"/>
      <c r="AG100" s="48"/>
      <c r="AH100" s="48"/>
      <c r="AI100" s="48"/>
      <c r="AJ100" s="44"/>
      <c r="AK100" s="44"/>
      <c r="AL100" s="44"/>
    </row>
    <row r="101" spans="1:38" x14ac:dyDescent="0.25">
      <c r="A101" s="94"/>
      <c r="B101" s="265" t="s">
        <v>1454</v>
      </c>
      <c r="C101" s="266" t="s">
        <v>1455</v>
      </c>
      <c r="D101" s="265" t="s">
        <v>146</v>
      </c>
      <c r="E101" s="265" t="s">
        <v>1456</v>
      </c>
      <c r="F101" s="267" t="s">
        <v>41</v>
      </c>
      <c r="G101" s="277">
        <v>13.96</v>
      </c>
      <c r="H101" s="268">
        <v>130</v>
      </c>
      <c r="I101" s="287">
        <v>0</v>
      </c>
      <c r="J101" s="268">
        <f t="shared" si="56"/>
        <v>0</v>
      </c>
      <c r="K101" s="292">
        <v>130</v>
      </c>
      <c r="L101" s="268">
        <f t="shared" si="64"/>
        <v>164.93</v>
      </c>
      <c r="M101" s="268">
        <f t="shared" ref="M101:M102" si="85">L101+J101</f>
        <v>164.93</v>
      </c>
      <c r="N101" s="268">
        <f t="shared" ref="N101:N102" si="86">J101*G101</f>
        <v>0</v>
      </c>
      <c r="O101" s="268">
        <f t="shared" ref="O101:O102" si="87">L101*G101</f>
        <v>2302.42</v>
      </c>
      <c r="P101" s="268">
        <f t="shared" ref="P101:P102" si="88">O101+N101</f>
        <v>2302.42</v>
      </c>
      <c r="Q101" s="269">
        <f t="shared" si="61"/>
        <v>8.9999999999999998E-4</v>
      </c>
      <c r="R101" s="44"/>
      <c r="S101" s="49">
        <f t="shared" si="62"/>
        <v>1814.8</v>
      </c>
      <c r="T101" s="126"/>
      <c r="U101" s="48"/>
      <c r="V101" s="48"/>
      <c r="W101" s="48"/>
      <c r="X101" s="48"/>
      <c r="Y101" s="48"/>
      <c r="Z101" s="48"/>
      <c r="AA101" s="48"/>
      <c r="AB101" s="48"/>
      <c r="AC101" s="48"/>
      <c r="AD101" s="48"/>
      <c r="AE101" s="48"/>
      <c r="AF101" s="48"/>
      <c r="AG101" s="48"/>
      <c r="AH101" s="48"/>
      <c r="AI101" s="48"/>
      <c r="AJ101" s="44"/>
      <c r="AK101" s="44"/>
      <c r="AL101" s="44"/>
    </row>
    <row r="102" spans="1:38" x14ac:dyDescent="0.25">
      <c r="A102" s="94"/>
      <c r="B102" s="265" t="s">
        <v>1457</v>
      </c>
      <c r="C102" s="266" t="s">
        <v>1458</v>
      </c>
      <c r="D102" s="265" t="s">
        <v>51</v>
      </c>
      <c r="E102" s="265" t="s">
        <v>1459</v>
      </c>
      <c r="F102" s="267" t="s">
        <v>41</v>
      </c>
      <c r="G102" s="277">
        <v>1.58</v>
      </c>
      <c r="H102" s="268">
        <v>102.55</v>
      </c>
      <c r="I102" s="287">
        <f>8.27+6.13+5.24+9.64</f>
        <v>29.28</v>
      </c>
      <c r="J102" s="268">
        <f t="shared" si="56"/>
        <v>37.15</v>
      </c>
      <c r="K102" s="292">
        <f>H102-I102</f>
        <v>73.27</v>
      </c>
      <c r="L102" s="268">
        <f t="shared" si="64"/>
        <v>92.96</v>
      </c>
      <c r="M102" s="268">
        <f t="shared" si="85"/>
        <v>130.11000000000001</v>
      </c>
      <c r="N102" s="268">
        <f t="shared" si="86"/>
        <v>58.7</v>
      </c>
      <c r="O102" s="268">
        <f t="shared" si="87"/>
        <v>146.88</v>
      </c>
      <c r="P102" s="268">
        <f t="shared" si="88"/>
        <v>205.58</v>
      </c>
      <c r="Q102" s="269">
        <f t="shared" si="61"/>
        <v>1E-4</v>
      </c>
      <c r="R102" s="44"/>
      <c r="S102" s="49">
        <f t="shared" si="62"/>
        <v>162.03</v>
      </c>
      <c r="T102" s="126"/>
      <c r="U102" s="48"/>
      <c r="V102" s="48"/>
      <c r="W102" s="48"/>
      <c r="X102" s="48"/>
      <c r="Y102" s="48"/>
      <c r="Z102" s="48"/>
      <c r="AA102" s="48"/>
      <c r="AB102" s="48"/>
      <c r="AC102" s="48"/>
      <c r="AD102" s="48"/>
      <c r="AE102" s="48"/>
      <c r="AF102" s="48"/>
      <c r="AG102" s="48"/>
      <c r="AH102" s="48"/>
      <c r="AI102" s="48"/>
      <c r="AJ102" s="44"/>
      <c r="AK102" s="44"/>
      <c r="AL102" s="44"/>
    </row>
    <row r="103" spans="1:38" x14ac:dyDescent="0.25">
      <c r="A103" s="94"/>
      <c r="B103" s="261">
        <v>5</v>
      </c>
      <c r="C103" s="261"/>
      <c r="D103" s="261"/>
      <c r="E103" s="261" t="s">
        <v>148</v>
      </c>
      <c r="F103" s="261"/>
      <c r="G103" s="276"/>
      <c r="H103" s="262"/>
      <c r="I103" s="286"/>
      <c r="J103" s="261"/>
      <c r="K103" s="291"/>
      <c r="L103" s="261"/>
      <c r="M103" s="261"/>
      <c r="N103" s="261"/>
      <c r="O103" s="261"/>
      <c r="P103" s="263"/>
      <c r="Q103" s="263"/>
      <c r="R103" s="44"/>
      <c r="S103" s="49">
        <f t="shared" si="62"/>
        <v>0</v>
      </c>
      <c r="T103" s="126"/>
      <c r="U103" s="48"/>
      <c r="V103" s="48"/>
      <c r="W103" s="48"/>
      <c r="X103" s="48"/>
      <c r="Y103" s="48"/>
      <c r="Z103" s="48"/>
      <c r="AA103" s="48"/>
      <c r="AB103" s="48"/>
      <c r="AC103" s="48"/>
      <c r="AD103" s="48"/>
      <c r="AE103" s="48"/>
      <c r="AF103" s="48"/>
      <c r="AG103" s="48"/>
      <c r="AH103" s="48"/>
      <c r="AI103" s="48"/>
      <c r="AJ103" s="44"/>
      <c r="AK103" s="44"/>
      <c r="AL103" s="44"/>
    </row>
    <row r="104" spans="1:38" x14ac:dyDescent="0.25">
      <c r="A104" s="94"/>
      <c r="B104" s="261" t="s">
        <v>140</v>
      </c>
      <c r="C104" s="261"/>
      <c r="D104" s="261"/>
      <c r="E104" s="261" t="s">
        <v>83</v>
      </c>
      <c r="F104" s="261"/>
      <c r="G104" s="276"/>
      <c r="H104" s="262"/>
      <c r="I104" s="286"/>
      <c r="J104" s="261"/>
      <c r="K104" s="291"/>
      <c r="L104" s="261"/>
      <c r="M104" s="261"/>
      <c r="N104" s="261"/>
      <c r="O104" s="261"/>
      <c r="P104" s="263"/>
      <c r="Q104" s="263"/>
      <c r="R104" s="44"/>
      <c r="S104" s="49">
        <f t="shared" si="62"/>
        <v>0</v>
      </c>
      <c r="T104" s="126"/>
      <c r="U104" s="48"/>
      <c r="V104" s="48"/>
      <c r="W104" s="48"/>
      <c r="X104" s="48"/>
      <c r="Y104" s="48"/>
      <c r="Z104" s="48"/>
      <c r="AA104" s="48"/>
      <c r="AB104" s="48"/>
      <c r="AC104" s="48"/>
      <c r="AD104" s="48"/>
      <c r="AE104" s="48"/>
      <c r="AF104" s="48"/>
      <c r="AG104" s="48"/>
      <c r="AH104" s="48"/>
      <c r="AI104" s="48"/>
      <c r="AJ104" s="44"/>
      <c r="AK104" s="44"/>
      <c r="AL104" s="44"/>
    </row>
    <row r="105" spans="1:38" ht="41.4" x14ac:dyDescent="0.25">
      <c r="A105" s="94"/>
      <c r="B105" s="265" t="s">
        <v>533</v>
      </c>
      <c r="C105" s="266" t="s">
        <v>1012</v>
      </c>
      <c r="D105" s="265" t="s">
        <v>40</v>
      </c>
      <c r="E105" s="265" t="s">
        <v>1013</v>
      </c>
      <c r="F105" s="267" t="s">
        <v>65</v>
      </c>
      <c r="G105" s="277">
        <v>1345</v>
      </c>
      <c r="H105" s="268">
        <f t="shared" ref="H105:H117" si="89">I105+K105</f>
        <v>19.52</v>
      </c>
      <c r="I105" s="287">
        <v>1.06</v>
      </c>
      <c r="J105" s="268">
        <f t="shared" si="56"/>
        <v>1.34</v>
      </c>
      <c r="K105" s="292">
        <f>0.71+17.74+0.01</f>
        <v>18.46</v>
      </c>
      <c r="L105" s="268">
        <f t="shared" ref="L105:L117" si="90">K105*(1+$M$9)</f>
        <v>23.42</v>
      </c>
      <c r="M105" s="268">
        <f t="shared" ref="M105" si="91">L105+J105</f>
        <v>24.76</v>
      </c>
      <c r="N105" s="268">
        <f t="shared" ref="N105" si="92">J105*G105</f>
        <v>1802.3</v>
      </c>
      <c r="O105" s="268">
        <f t="shared" ref="O105" si="93">L105*G105</f>
        <v>31499.9</v>
      </c>
      <c r="P105" s="268">
        <f t="shared" ref="P105" si="94">O105+N105</f>
        <v>33302.199999999997</v>
      </c>
      <c r="Q105" s="269">
        <f t="shared" si="61"/>
        <v>1.32E-2</v>
      </c>
      <c r="R105" s="44"/>
      <c r="S105" s="49">
        <f t="shared" si="62"/>
        <v>26254.400000000001</v>
      </c>
      <c r="T105" s="126"/>
      <c r="U105" s="48"/>
      <c r="V105" s="48"/>
      <c r="W105" s="48"/>
      <c r="X105" s="48"/>
      <c r="Y105" s="48"/>
      <c r="Z105" s="48"/>
      <c r="AA105" s="48"/>
      <c r="AB105" s="48"/>
      <c r="AC105" s="48"/>
      <c r="AD105" s="48"/>
      <c r="AE105" s="48"/>
      <c r="AF105" s="48"/>
      <c r="AG105" s="48"/>
      <c r="AH105" s="48"/>
      <c r="AI105" s="48"/>
      <c r="AJ105" s="44"/>
      <c r="AK105" s="44"/>
      <c r="AL105" s="44"/>
    </row>
    <row r="106" spans="1:38" ht="41.4" x14ac:dyDescent="0.25">
      <c r="A106" s="94"/>
      <c r="B106" s="265" t="s">
        <v>799</v>
      </c>
      <c r="C106" s="266" t="s">
        <v>152</v>
      </c>
      <c r="D106" s="265" t="s">
        <v>40</v>
      </c>
      <c r="E106" s="265" t="s">
        <v>153</v>
      </c>
      <c r="F106" s="267" t="s">
        <v>41</v>
      </c>
      <c r="G106" s="277">
        <v>459.5</v>
      </c>
      <c r="H106" s="268">
        <f t="shared" si="89"/>
        <v>24.78</v>
      </c>
      <c r="I106" s="287">
        <v>3.97</v>
      </c>
      <c r="J106" s="268">
        <f t="shared" si="56"/>
        <v>5.04</v>
      </c>
      <c r="K106" s="292">
        <f>0.33+20.46+0.02</f>
        <v>20.81</v>
      </c>
      <c r="L106" s="268">
        <f t="shared" si="90"/>
        <v>26.4</v>
      </c>
      <c r="M106" s="268">
        <f t="shared" ref="M106:M107" si="95">L106+J106</f>
        <v>31.44</v>
      </c>
      <c r="N106" s="268">
        <f t="shared" ref="N106:N107" si="96">J106*G106</f>
        <v>2315.88</v>
      </c>
      <c r="O106" s="268">
        <f t="shared" ref="O106:O107" si="97">L106*G106</f>
        <v>12130.8</v>
      </c>
      <c r="P106" s="268">
        <f t="shared" ref="P106:P107" si="98">O106+N106</f>
        <v>14446.68</v>
      </c>
      <c r="Q106" s="269">
        <f t="shared" si="61"/>
        <v>5.7000000000000002E-3</v>
      </c>
      <c r="R106" s="44"/>
      <c r="S106" s="49">
        <f t="shared" si="62"/>
        <v>11386.41</v>
      </c>
      <c r="T106" s="126"/>
      <c r="U106" s="48"/>
      <c r="V106" s="48"/>
      <c r="W106" s="48"/>
      <c r="X106" s="48"/>
      <c r="Y106" s="48"/>
      <c r="Z106" s="48"/>
      <c r="AA106" s="48"/>
      <c r="AB106" s="48"/>
      <c r="AC106" s="48"/>
      <c r="AD106" s="48"/>
      <c r="AE106" s="48"/>
      <c r="AF106" s="48"/>
      <c r="AG106" s="48"/>
      <c r="AH106" s="48"/>
      <c r="AI106" s="48"/>
      <c r="AJ106" s="44"/>
      <c r="AK106" s="44"/>
      <c r="AL106" s="44"/>
    </row>
    <row r="107" spans="1:38" ht="41.4" x14ac:dyDescent="0.25">
      <c r="A107" s="94"/>
      <c r="B107" s="265" t="s">
        <v>1169</v>
      </c>
      <c r="C107" s="266">
        <v>92543</v>
      </c>
      <c r="D107" s="265" t="s">
        <v>40</v>
      </c>
      <c r="E107" s="265" t="s">
        <v>154</v>
      </c>
      <c r="F107" s="267" t="s">
        <v>41</v>
      </c>
      <c r="G107" s="277">
        <v>459.5</v>
      </c>
      <c r="H107" s="268">
        <f t="shared" si="89"/>
        <v>22.87</v>
      </c>
      <c r="I107" s="287">
        <v>3.27</v>
      </c>
      <c r="J107" s="268">
        <f t="shared" si="56"/>
        <v>4.1500000000000004</v>
      </c>
      <c r="K107" s="292">
        <v>19.600000000000001</v>
      </c>
      <c r="L107" s="268">
        <f t="shared" si="90"/>
        <v>24.87</v>
      </c>
      <c r="M107" s="268">
        <f t="shared" si="95"/>
        <v>29.02</v>
      </c>
      <c r="N107" s="268">
        <f t="shared" si="96"/>
        <v>1906.93</v>
      </c>
      <c r="O107" s="268">
        <f t="shared" si="97"/>
        <v>11427.77</v>
      </c>
      <c r="P107" s="268">
        <f t="shared" si="98"/>
        <v>13334.7</v>
      </c>
      <c r="Q107" s="269">
        <f t="shared" si="61"/>
        <v>5.3E-3</v>
      </c>
      <c r="R107" s="44"/>
      <c r="S107" s="49">
        <f t="shared" si="62"/>
        <v>10508.77</v>
      </c>
      <c r="T107" s="126"/>
      <c r="U107" s="48"/>
      <c r="V107" s="48"/>
      <c r="W107" s="48"/>
      <c r="X107" s="48"/>
      <c r="Y107" s="48"/>
      <c r="Z107" s="48"/>
      <c r="AA107" s="48"/>
      <c r="AB107" s="48"/>
      <c r="AC107" s="48"/>
      <c r="AD107" s="48"/>
      <c r="AE107" s="48"/>
      <c r="AF107" s="48"/>
      <c r="AG107" s="48"/>
      <c r="AH107" s="48"/>
      <c r="AI107" s="48"/>
      <c r="AJ107" s="44"/>
      <c r="AK107" s="44"/>
      <c r="AL107" s="44"/>
    </row>
    <row r="108" spans="1:38" x14ac:dyDescent="0.25">
      <c r="A108" s="94"/>
      <c r="B108" s="261" t="s">
        <v>143</v>
      </c>
      <c r="C108" s="261"/>
      <c r="D108" s="261"/>
      <c r="E108" s="261" t="s">
        <v>550</v>
      </c>
      <c r="F108" s="261"/>
      <c r="G108" s="276"/>
      <c r="H108" s="262"/>
      <c r="I108" s="286"/>
      <c r="J108" s="261"/>
      <c r="K108" s="291"/>
      <c r="L108" s="261"/>
      <c r="M108" s="261"/>
      <c r="N108" s="261"/>
      <c r="O108" s="261"/>
      <c r="P108" s="263"/>
      <c r="Q108" s="263"/>
      <c r="R108" s="44"/>
      <c r="S108" s="49">
        <f t="shared" si="62"/>
        <v>0</v>
      </c>
      <c r="T108" s="126"/>
      <c r="U108" s="48"/>
      <c r="V108" s="48"/>
      <c r="W108" s="48"/>
      <c r="X108" s="48"/>
      <c r="Y108" s="48"/>
      <c r="Z108" s="48"/>
      <c r="AA108" s="48"/>
      <c r="AB108" s="48"/>
      <c r="AC108" s="48"/>
      <c r="AD108" s="48"/>
      <c r="AE108" s="48"/>
      <c r="AF108" s="48"/>
      <c r="AG108" s="48"/>
      <c r="AH108" s="48"/>
      <c r="AI108" s="48"/>
      <c r="AJ108" s="44"/>
      <c r="AK108" s="44"/>
      <c r="AL108" s="44"/>
    </row>
    <row r="109" spans="1:38" ht="41.4" x14ac:dyDescent="0.25">
      <c r="A109" s="94"/>
      <c r="B109" s="265" t="s">
        <v>536</v>
      </c>
      <c r="C109" s="266" t="s">
        <v>150</v>
      </c>
      <c r="D109" s="265" t="s">
        <v>40</v>
      </c>
      <c r="E109" s="265" t="s">
        <v>151</v>
      </c>
      <c r="F109" s="267" t="s">
        <v>41</v>
      </c>
      <c r="G109" s="277">
        <v>459.5</v>
      </c>
      <c r="H109" s="268">
        <f t="shared" si="89"/>
        <v>53.71</v>
      </c>
      <c r="I109" s="287">
        <v>4.34</v>
      </c>
      <c r="J109" s="268">
        <f t="shared" si="56"/>
        <v>5.51</v>
      </c>
      <c r="K109" s="292">
        <v>49.37</v>
      </c>
      <c r="L109" s="268">
        <f t="shared" si="90"/>
        <v>62.64</v>
      </c>
      <c r="M109" s="268">
        <f t="shared" ref="M109" si="99">L109+J109</f>
        <v>68.150000000000006</v>
      </c>
      <c r="N109" s="268">
        <f t="shared" ref="N109" si="100">J109*G109</f>
        <v>2531.85</v>
      </c>
      <c r="O109" s="268">
        <f t="shared" ref="O109" si="101">L109*G109</f>
        <v>28783.08</v>
      </c>
      <c r="P109" s="268">
        <f t="shared" ref="P109" si="102">O109+N109</f>
        <v>31314.93</v>
      </c>
      <c r="Q109" s="269">
        <f t="shared" si="61"/>
        <v>1.24E-2</v>
      </c>
      <c r="R109" s="44"/>
      <c r="S109" s="49">
        <f t="shared" si="62"/>
        <v>24679.75</v>
      </c>
      <c r="T109" s="126"/>
      <c r="U109" s="48"/>
      <c r="V109" s="48"/>
      <c r="W109" s="48"/>
      <c r="X109" s="48"/>
      <c r="Y109" s="48"/>
      <c r="Z109" s="48"/>
      <c r="AA109" s="48"/>
      <c r="AB109" s="48"/>
      <c r="AC109" s="48"/>
      <c r="AD109" s="48"/>
      <c r="AE109" s="48"/>
      <c r="AF109" s="48"/>
      <c r="AG109" s="48"/>
      <c r="AH109" s="48"/>
      <c r="AI109" s="48"/>
      <c r="AJ109" s="44"/>
      <c r="AK109" s="44"/>
      <c r="AL109" s="44"/>
    </row>
    <row r="110" spans="1:38" x14ac:dyDescent="0.25">
      <c r="A110" s="94"/>
      <c r="B110" s="265" t="s">
        <v>538</v>
      </c>
      <c r="C110" s="266">
        <v>100113</v>
      </c>
      <c r="D110" s="265" t="s">
        <v>51</v>
      </c>
      <c r="E110" s="265" t="s">
        <v>1015</v>
      </c>
      <c r="F110" s="267" t="s">
        <v>41</v>
      </c>
      <c r="G110" s="277">
        <v>34.409999999999997</v>
      </c>
      <c r="H110" s="268">
        <v>104.62</v>
      </c>
      <c r="I110" s="287">
        <v>0</v>
      </c>
      <c r="J110" s="268">
        <f t="shared" si="56"/>
        <v>0</v>
      </c>
      <c r="K110" s="292">
        <f>H110</f>
        <v>104.62</v>
      </c>
      <c r="L110" s="268">
        <f t="shared" si="90"/>
        <v>132.72999999999999</v>
      </c>
      <c r="M110" s="268">
        <f t="shared" ref="M110" si="103">L110+J110</f>
        <v>132.72999999999999</v>
      </c>
      <c r="N110" s="268">
        <f t="shared" ref="N110" si="104">J110*G110</f>
        <v>0</v>
      </c>
      <c r="O110" s="268">
        <f t="shared" ref="O110" si="105">L110*G110</f>
        <v>4567.24</v>
      </c>
      <c r="P110" s="268">
        <f t="shared" ref="P110" si="106">O110+N110</f>
        <v>4567.24</v>
      </c>
      <c r="Q110" s="269">
        <f t="shared" si="61"/>
        <v>1.8E-3</v>
      </c>
      <c r="R110" s="44"/>
      <c r="S110" s="49">
        <f t="shared" si="62"/>
        <v>3599.97</v>
      </c>
      <c r="T110" s="126"/>
      <c r="U110" s="48"/>
      <c r="V110" s="48"/>
      <c r="W110" s="48"/>
      <c r="X110" s="48"/>
      <c r="Y110" s="48"/>
      <c r="Z110" s="48"/>
      <c r="AA110" s="48"/>
      <c r="AB110" s="48"/>
      <c r="AC110" s="48"/>
      <c r="AD110" s="48"/>
      <c r="AE110" s="48"/>
      <c r="AF110" s="48"/>
      <c r="AG110" s="48"/>
      <c r="AH110" s="48"/>
      <c r="AI110" s="48"/>
      <c r="AJ110" s="44"/>
      <c r="AK110" s="44"/>
      <c r="AL110" s="44"/>
    </row>
    <row r="111" spans="1:38" x14ac:dyDescent="0.25">
      <c r="A111" s="94"/>
      <c r="B111" s="261" t="s">
        <v>144</v>
      </c>
      <c r="C111" s="261"/>
      <c r="D111" s="261"/>
      <c r="E111" s="261" t="s">
        <v>552</v>
      </c>
      <c r="F111" s="261"/>
      <c r="G111" s="276"/>
      <c r="H111" s="262"/>
      <c r="I111" s="286"/>
      <c r="J111" s="261"/>
      <c r="K111" s="291"/>
      <c r="L111" s="261"/>
      <c r="M111" s="261"/>
      <c r="N111" s="261"/>
      <c r="O111" s="261"/>
      <c r="P111" s="263"/>
      <c r="Q111" s="263"/>
      <c r="R111" s="44"/>
      <c r="S111" s="49">
        <f t="shared" si="62"/>
        <v>0</v>
      </c>
      <c r="T111" s="126"/>
      <c r="U111" s="48"/>
      <c r="V111" s="48"/>
      <c r="W111" s="48"/>
      <c r="X111" s="48"/>
      <c r="Y111" s="48"/>
      <c r="Z111" s="48"/>
      <c r="AA111" s="48"/>
      <c r="AB111" s="48"/>
      <c r="AC111" s="48"/>
      <c r="AD111" s="48"/>
      <c r="AE111" s="48"/>
      <c r="AF111" s="48"/>
      <c r="AG111" s="48"/>
      <c r="AH111" s="48"/>
      <c r="AI111" s="48"/>
      <c r="AJ111" s="44"/>
      <c r="AK111" s="44"/>
      <c r="AL111" s="44"/>
    </row>
    <row r="112" spans="1:38" ht="27.6" x14ac:dyDescent="0.25">
      <c r="A112" s="94"/>
      <c r="B112" s="265" t="s">
        <v>540</v>
      </c>
      <c r="C112" s="266" t="s">
        <v>156</v>
      </c>
      <c r="D112" s="265" t="s">
        <v>40</v>
      </c>
      <c r="E112" s="265" t="s">
        <v>157</v>
      </c>
      <c r="F112" s="267" t="s">
        <v>55</v>
      </c>
      <c r="G112" s="277">
        <v>90.1</v>
      </c>
      <c r="H112" s="268">
        <f t="shared" si="89"/>
        <v>141.59</v>
      </c>
      <c r="I112" s="287">
        <v>19.07</v>
      </c>
      <c r="J112" s="268">
        <f t="shared" si="56"/>
        <v>24.19</v>
      </c>
      <c r="K112" s="292">
        <v>122.52</v>
      </c>
      <c r="L112" s="268">
        <f t="shared" si="90"/>
        <v>155.44</v>
      </c>
      <c r="M112" s="268">
        <f t="shared" ref="M112" si="107">L112+J112</f>
        <v>179.63</v>
      </c>
      <c r="N112" s="268">
        <f t="shared" ref="N112" si="108">J112*G112</f>
        <v>2179.52</v>
      </c>
      <c r="O112" s="268">
        <f t="shared" ref="O112" si="109">L112*G112</f>
        <v>14005.14</v>
      </c>
      <c r="P112" s="268">
        <f t="shared" ref="P112" si="110">O112+N112</f>
        <v>16184.66</v>
      </c>
      <c r="Q112" s="269">
        <f t="shared" si="61"/>
        <v>6.4000000000000003E-3</v>
      </c>
      <c r="R112" s="44"/>
      <c r="S112" s="49">
        <f t="shared" si="62"/>
        <v>12757.26</v>
      </c>
      <c r="T112" s="126"/>
      <c r="U112" s="48"/>
      <c r="V112" s="48"/>
      <c r="W112" s="48"/>
      <c r="X112" s="48"/>
      <c r="Y112" s="48"/>
      <c r="Z112" s="48"/>
      <c r="AA112" s="48"/>
      <c r="AB112" s="48"/>
      <c r="AC112" s="48"/>
      <c r="AD112" s="48"/>
      <c r="AE112" s="48"/>
      <c r="AF112" s="48"/>
      <c r="AG112" s="48"/>
      <c r="AH112" s="48"/>
      <c r="AI112" s="48"/>
      <c r="AJ112" s="44"/>
      <c r="AK112" s="44"/>
      <c r="AL112" s="44"/>
    </row>
    <row r="113" spans="1:38" ht="27.6" x14ac:dyDescent="0.25">
      <c r="A113" s="94"/>
      <c r="B113" s="265" t="s">
        <v>800</v>
      </c>
      <c r="C113" s="266">
        <v>94231</v>
      </c>
      <c r="D113" s="265" t="s">
        <v>40</v>
      </c>
      <c r="E113" s="265" t="s">
        <v>155</v>
      </c>
      <c r="F113" s="267" t="s">
        <v>55</v>
      </c>
      <c r="G113" s="277">
        <v>76.680000000000007</v>
      </c>
      <c r="H113" s="268">
        <f t="shared" si="89"/>
        <v>44.82</v>
      </c>
      <c r="I113" s="287">
        <v>5.41</v>
      </c>
      <c r="J113" s="268">
        <f t="shared" si="56"/>
        <v>6.86</v>
      </c>
      <c r="K113" s="292">
        <v>39.409999999999997</v>
      </c>
      <c r="L113" s="268">
        <f t="shared" si="90"/>
        <v>50</v>
      </c>
      <c r="M113" s="268">
        <f t="shared" ref="M113:M114" si="111">L113+J113</f>
        <v>56.86</v>
      </c>
      <c r="N113" s="268">
        <f t="shared" ref="N113:N114" si="112">J113*G113</f>
        <v>526.02</v>
      </c>
      <c r="O113" s="268">
        <f t="shared" ref="O113:O114" si="113">L113*G113</f>
        <v>3834</v>
      </c>
      <c r="P113" s="268">
        <f t="shared" ref="P113:P114" si="114">O113+N113</f>
        <v>4360.0200000000004</v>
      </c>
      <c r="Q113" s="269">
        <f t="shared" si="61"/>
        <v>1.6999999999999999E-3</v>
      </c>
      <c r="R113" s="44"/>
      <c r="S113" s="49">
        <f t="shared" si="62"/>
        <v>3436.8</v>
      </c>
      <c r="T113" s="126"/>
      <c r="U113" s="48"/>
      <c r="V113" s="48"/>
      <c r="W113" s="48"/>
      <c r="X113" s="48"/>
      <c r="Y113" s="48"/>
      <c r="Z113" s="48"/>
      <c r="AA113" s="48"/>
      <c r="AB113" s="48"/>
      <c r="AC113" s="48"/>
      <c r="AD113" s="48"/>
      <c r="AE113" s="48"/>
      <c r="AF113" s="48"/>
      <c r="AG113" s="48"/>
      <c r="AH113" s="48"/>
      <c r="AI113" s="48"/>
      <c r="AJ113" s="44"/>
      <c r="AK113" s="44"/>
      <c r="AL113" s="44"/>
    </row>
    <row r="114" spans="1:38" ht="27.6" x14ac:dyDescent="0.25">
      <c r="A114" s="94"/>
      <c r="B114" s="265" t="s">
        <v>801</v>
      </c>
      <c r="C114" s="266">
        <v>94451</v>
      </c>
      <c r="D114" s="265" t="s">
        <v>40</v>
      </c>
      <c r="E114" s="265" t="s">
        <v>1182</v>
      </c>
      <c r="F114" s="267" t="s">
        <v>55</v>
      </c>
      <c r="G114" s="277">
        <v>33.4</v>
      </c>
      <c r="H114" s="268">
        <f t="shared" si="89"/>
        <v>102.77</v>
      </c>
      <c r="I114" s="287">
        <v>2.19</v>
      </c>
      <c r="J114" s="268">
        <f t="shared" si="56"/>
        <v>2.78</v>
      </c>
      <c r="K114" s="292">
        <v>100.58</v>
      </c>
      <c r="L114" s="268">
        <f t="shared" si="90"/>
        <v>127.61</v>
      </c>
      <c r="M114" s="268">
        <f t="shared" si="111"/>
        <v>130.38999999999999</v>
      </c>
      <c r="N114" s="268">
        <f t="shared" si="112"/>
        <v>92.85</v>
      </c>
      <c r="O114" s="268">
        <f t="shared" si="113"/>
        <v>4262.17</v>
      </c>
      <c r="P114" s="268">
        <f t="shared" si="114"/>
        <v>4355.0200000000004</v>
      </c>
      <c r="Q114" s="269">
        <f t="shared" si="61"/>
        <v>1.6999999999999999E-3</v>
      </c>
      <c r="R114" s="44"/>
      <c r="S114" s="49">
        <f t="shared" si="62"/>
        <v>3432.52</v>
      </c>
      <c r="T114" s="126"/>
      <c r="U114" s="48"/>
      <c r="V114" s="48"/>
      <c r="W114" s="48"/>
      <c r="X114" s="48"/>
      <c r="Y114" s="48"/>
      <c r="Z114" s="48"/>
      <c r="AA114" s="48"/>
      <c r="AB114" s="48"/>
      <c r="AC114" s="48"/>
      <c r="AD114" s="48"/>
      <c r="AE114" s="48"/>
      <c r="AF114" s="48"/>
      <c r="AG114" s="48"/>
      <c r="AH114" s="48"/>
      <c r="AI114" s="48"/>
      <c r="AJ114" s="44"/>
      <c r="AK114" s="44"/>
      <c r="AL114" s="44"/>
    </row>
    <row r="115" spans="1:38" x14ac:dyDescent="0.25">
      <c r="A115" s="94"/>
      <c r="B115" s="261">
        <v>6</v>
      </c>
      <c r="C115" s="261"/>
      <c r="D115" s="261"/>
      <c r="E115" s="261" t="s">
        <v>553</v>
      </c>
      <c r="F115" s="261"/>
      <c r="G115" s="276"/>
      <c r="H115" s="262"/>
      <c r="I115" s="286"/>
      <c r="J115" s="261"/>
      <c r="K115" s="291"/>
      <c r="L115" s="261"/>
      <c r="M115" s="261"/>
      <c r="N115" s="261"/>
      <c r="O115" s="261"/>
      <c r="P115" s="263"/>
      <c r="Q115" s="263"/>
      <c r="R115" s="44"/>
      <c r="S115" s="49">
        <f t="shared" si="62"/>
        <v>0</v>
      </c>
      <c r="T115" s="126"/>
      <c r="U115" s="48"/>
      <c r="V115" s="48"/>
      <c r="W115" s="48"/>
      <c r="X115" s="48"/>
      <c r="Y115" s="48"/>
      <c r="Z115" s="48"/>
      <c r="AA115" s="48"/>
      <c r="AB115" s="48"/>
      <c r="AC115" s="48"/>
      <c r="AD115" s="48"/>
      <c r="AE115" s="48"/>
      <c r="AF115" s="48"/>
      <c r="AG115" s="48"/>
      <c r="AH115" s="48"/>
      <c r="AI115" s="48"/>
      <c r="AJ115" s="44"/>
      <c r="AK115" s="44"/>
      <c r="AL115" s="44"/>
    </row>
    <row r="116" spans="1:38" ht="27.6" x14ac:dyDescent="0.25">
      <c r="A116" s="94"/>
      <c r="B116" s="265" t="s">
        <v>149</v>
      </c>
      <c r="C116" s="266" t="s">
        <v>554</v>
      </c>
      <c r="D116" s="265" t="s">
        <v>40</v>
      </c>
      <c r="E116" s="265" t="s">
        <v>555</v>
      </c>
      <c r="F116" s="267" t="s">
        <v>41</v>
      </c>
      <c r="G116" s="277">
        <v>158.86000000000001</v>
      </c>
      <c r="H116" s="268">
        <f t="shared" si="89"/>
        <v>53.58</v>
      </c>
      <c r="I116" s="287">
        <v>21.6</v>
      </c>
      <c r="J116" s="268">
        <f t="shared" si="56"/>
        <v>27.4</v>
      </c>
      <c r="K116" s="292">
        <v>31.98</v>
      </c>
      <c r="L116" s="268">
        <f t="shared" si="90"/>
        <v>40.57</v>
      </c>
      <c r="M116" s="268">
        <f t="shared" ref="M116" si="115">L116+J116</f>
        <v>67.97</v>
      </c>
      <c r="N116" s="268">
        <f t="shared" ref="N116" si="116">J116*G116</f>
        <v>4352.76</v>
      </c>
      <c r="O116" s="268">
        <f t="shared" ref="O116" si="117">L116*G116</f>
        <v>6444.95</v>
      </c>
      <c r="P116" s="268">
        <f t="shared" ref="P116" si="118">O116+N116</f>
        <v>10797.71</v>
      </c>
      <c r="Q116" s="269">
        <f t="shared" si="61"/>
        <v>4.3E-3</v>
      </c>
      <c r="R116" s="44"/>
      <c r="S116" s="49">
        <f t="shared" si="62"/>
        <v>8511.7199999999993</v>
      </c>
      <c r="T116" s="126"/>
      <c r="U116" s="48"/>
      <c r="V116" s="48"/>
      <c r="W116" s="48"/>
      <c r="X116" s="48"/>
      <c r="Y116" s="48"/>
      <c r="Z116" s="48"/>
      <c r="AA116" s="48"/>
      <c r="AB116" s="48"/>
      <c r="AC116" s="48"/>
      <c r="AD116" s="48"/>
      <c r="AE116" s="48"/>
      <c r="AF116" s="48"/>
      <c r="AG116" s="48"/>
      <c r="AH116" s="48"/>
      <c r="AI116" s="48"/>
      <c r="AJ116" s="44"/>
      <c r="AK116" s="44"/>
      <c r="AL116" s="44"/>
    </row>
    <row r="117" spans="1:38" ht="27.6" x14ac:dyDescent="0.25">
      <c r="A117" s="94"/>
      <c r="B117" s="265" t="s">
        <v>1363</v>
      </c>
      <c r="C117" s="266" t="s">
        <v>1364</v>
      </c>
      <c r="D117" s="265" t="s">
        <v>40</v>
      </c>
      <c r="E117" s="265" t="s">
        <v>1365</v>
      </c>
      <c r="F117" s="267" t="s">
        <v>41</v>
      </c>
      <c r="G117" s="277">
        <v>135.65</v>
      </c>
      <c r="H117" s="268">
        <f t="shared" si="89"/>
        <v>28.74</v>
      </c>
      <c r="I117" s="287">
        <v>13.2</v>
      </c>
      <c r="J117" s="268">
        <f t="shared" si="56"/>
        <v>16.75</v>
      </c>
      <c r="K117" s="292">
        <v>15.54</v>
      </c>
      <c r="L117" s="268">
        <f t="shared" si="90"/>
        <v>19.72</v>
      </c>
      <c r="M117" s="268">
        <f t="shared" ref="M117" si="119">L117+J117</f>
        <v>36.47</v>
      </c>
      <c r="N117" s="268">
        <f t="shared" ref="N117" si="120">J117*G117</f>
        <v>2272.14</v>
      </c>
      <c r="O117" s="268">
        <f t="shared" ref="O117" si="121">L117*G117</f>
        <v>2675.02</v>
      </c>
      <c r="P117" s="268">
        <f t="shared" ref="P117" si="122">O117+N117</f>
        <v>4947.16</v>
      </c>
      <c r="Q117" s="269">
        <f t="shared" si="61"/>
        <v>2E-3</v>
      </c>
      <c r="R117" s="44"/>
      <c r="S117" s="49">
        <f t="shared" si="62"/>
        <v>3898.58</v>
      </c>
      <c r="T117" s="126"/>
      <c r="U117" s="48"/>
      <c r="V117" s="48"/>
      <c r="W117" s="48"/>
      <c r="X117" s="48"/>
      <c r="Y117" s="48"/>
      <c r="Z117" s="48"/>
      <c r="AA117" s="48"/>
      <c r="AB117" s="48"/>
      <c r="AC117" s="48"/>
      <c r="AD117" s="48"/>
      <c r="AE117" s="48"/>
      <c r="AF117" s="48"/>
      <c r="AG117" s="48"/>
      <c r="AH117" s="48"/>
      <c r="AI117" s="48"/>
      <c r="AJ117" s="44"/>
      <c r="AK117" s="44"/>
      <c r="AL117" s="44"/>
    </row>
    <row r="118" spans="1:38" x14ac:dyDescent="0.25">
      <c r="A118" s="94"/>
      <c r="B118" s="261">
        <v>7</v>
      </c>
      <c r="C118" s="261"/>
      <c r="D118" s="261"/>
      <c r="E118" s="261" t="s">
        <v>245</v>
      </c>
      <c r="F118" s="261"/>
      <c r="G118" s="276"/>
      <c r="H118" s="262"/>
      <c r="I118" s="286"/>
      <c r="J118" s="261"/>
      <c r="K118" s="291"/>
      <c r="L118" s="261"/>
      <c r="M118" s="261"/>
      <c r="N118" s="261"/>
      <c r="O118" s="261"/>
      <c r="P118" s="263"/>
      <c r="Q118" s="263"/>
      <c r="R118" s="44"/>
      <c r="S118" s="49">
        <f t="shared" si="62"/>
        <v>0</v>
      </c>
      <c r="T118" s="126"/>
      <c r="U118" s="48"/>
      <c r="V118" s="48"/>
      <c r="W118" s="48"/>
      <c r="X118" s="48"/>
      <c r="Y118" s="48"/>
      <c r="Z118" s="48"/>
      <c r="AA118" s="48"/>
      <c r="AB118" s="48"/>
      <c r="AC118" s="48"/>
      <c r="AD118" s="48"/>
      <c r="AE118" s="48"/>
      <c r="AF118" s="48"/>
      <c r="AG118" s="48"/>
      <c r="AH118" s="48"/>
      <c r="AI118" s="48"/>
      <c r="AJ118" s="44"/>
      <c r="AK118" s="44"/>
      <c r="AL118" s="44"/>
    </row>
    <row r="119" spans="1:38" x14ac:dyDescent="0.25">
      <c r="A119" s="94"/>
      <c r="B119" s="261" t="s">
        <v>158</v>
      </c>
      <c r="C119" s="261"/>
      <c r="D119" s="261"/>
      <c r="E119" s="261" t="s">
        <v>387</v>
      </c>
      <c r="F119" s="261"/>
      <c r="G119" s="276"/>
      <c r="H119" s="262"/>
      <c r="I119" s="286"/>
      <c r="J119" s="261"/>
      <c r="K119" s="291"/>
      <c r="L119" s="261"/>
      <c r="M119" s="261"/>
      <c r="N119" s="261"/>
      <c r="O119" s="261"/>
      <c r="P119" s="263"/>
      <c r="Q119" s="263"/>
      <c r="R119" s="44"/>
      <c r="S119" s="49">
        <f t="shared" si="62"/>
        <v>0</v>
      </c>
      <c r="T119" s="126"/>
      <c r="U119" s="48"/>
      <c r="V119" s="48"/>
      <c r="W119" s="48"/>
      <c r="X119" s="48"/>
      <c r="Y119" s="48"/>
      <c r="Z119" s="48"/>
      <c r="AA119" s="48"/>
      <c r="AB119" s="48"/>
      <c r="AC119" s="48"/>
      <c r="AD119" s="48"/>
      <c r="AE119" s="48"/>
      <c r="AF119" s="48"/>
      <c r="AG119" s="48"/>
      <c r="AH119" s="48"/>
      <c r="AI119" s="48"/>
      <c r="AJ119" s="44"/>
      <c r="AK119" s="44"/>
      <c r="AL119" s="44"/>
    </row>
    <row r="120" spans="1:38" x14ac:dyDescent="0.25">
      <c r="A120" s="94"/>
      <c r="B120" s="261" t="s">
        <v>802</v>
      </c>
      <c r="C120" s="261"/>
      <c r="D120" s="261"/>
      <c r="E120" s="261" t="s">
        <v>534</v>
      </c>
      <c r="F120" s="261"/>
      <c r="G120" s="276"/>
      <c r="H120" s="262"/>
      <c r="I120" s="286"/>
      <c r="J120" s="261"/>
      <c r="K120" s="291"/>
      <c r="L120" s="261"/>
      <c r="M120" s="261"/>
      <c r="N120" s="261"/>
      <c r="O120" s="261"/>
      <c r="P120" s="263"/>
      <c r="Q120" s="263"/>
      <c r="R120" s="44"/>
      <c r="S120" s="49">
        <f t="shared" si="62"/>
        <v>0</v>
      </c>
      <c r="T120" s="126"/>
      <c r="U120" s="48"/>
      <c r="V120" s="48"/>
      <c r="W120" s="48"/>
      <c r="X120" s="48"/>
      <c r="Y120" s="48"/>
      <c r="Z120" s="48"/>
      <c r="AA120" s="48"/>
      <c r="AB120" s="48"/>
      <c r="AC120" s="48"/>
      <c r="AD120" s="48"/>
      <c r="AE120" s="48"/>
      <c r="AF120" s="48"/>
      <c r="AG120" s="48"/>
      <c r="AH120" s="48"/>
      <c r="AI120" s="48"/>
      <c r="AJ120" s="44"/>
      <c r="AK120" s="44"/>
      <c r="AL120" s="44"/>
    </row>
    <row r="121" spans="1:38" ht="41.4" x14ac:dyDescent="0.25">
      <c r="A121" s="94"/>
      <c r="B121" s="265" t="s">
        <v>803</v>
      </c>
      <c r="C121" s="266" t="s">
        <v>1170</v>
      </c>
      <c r="D121" s="265" t="s">
        <v>40</v>
      </c>
      <c r="E121" s="265" t="s">
        <v>1171</v>
      </c>
      <c r="F121" s="267" t="s">
        <v>44</v>
      </c>
      <c r="G121" s="277">
        <v>13</v>
      </c>
      <c r="H121" s="268">
        <f t="shared" ref="H121:H122" si="123">I121+K121</f>
        <v>1024.21</v>
      </c>
      <c r="I121" s="287">
        <v>200.23</v>
      </c>
      <c r="J121" s="268">
        <f t="shared" si="56"/>
        <v>254.03</v>
      </c>
      <c r="K121" s="292">
        <v>823.98</v>
      </c>
      <c r="L121" s="268">
        <f t="shared" ref="L121:L125" si="124">K121*(1+$M$9)</f>
        <v>1045.3800000000001</v>
      </c>
      <c r="M121" s="268">
        <f t="shared" ref="M121" si="125">L121+J121</f>
        <v>1299.4100000000001</v>
      </c>
      <c r="N121" s="268">
        <f t="shared" ref="N121" si="126">J121*G121</f>
        <v>3302.39</v>
      </c>
      <c r="O121" s="268">
        <f t="shared" ref="O121" si="127">L121*G121</f>
        <v>13589.94</v>
      </c>
      <c r="P121" s="268">
        <f t="shared" ref="P121" si="128">O121+N121</f>
        <v>16892.330000000002</v>
      </c>
      <c r="Q121" s="269">
        <f t="shared" si="61"/>
        <v>6.7000000000000002E-3</v>
      </c>
      <c r="R121" s="44"/>
      <c r="S121" s="49">
        <f t="shared" si="62"/>
        <v>13314.73</v>
      </c>
      <c r="T121" s="126"/>
      <c r="U121" s="48"/>
      <c r="V121" s="48"/>
      <c r="W121" s="48"/>
      <c r="X121" s="48"/>
      <c r="Y121" s="48"/>
      <c r="Z121" s="48"/>
      <c r="AA121" s="48"/>
      <c r="AB121" s="48"/>
      <c r="AC121" s="48"/>
      <c r="AD121" s="48"/>
      <c r="AE121" s="48"/>
      <c r="AF121" s="48"/>
      <c r="AG121" s="48"/>
      <c r="AH121" s="48"/>
      <c r="AI121" s="48"/>
      <c r="AJ121" s="44"/>
      <c r="AK121" s="44"/>
      <c r="AL121" s="44"/>
    </row>
    <row r="122" spans="1:38" ht="41.4" x14ac:dyDescent="0.25">
      <c r="A122" s="94"/>
      <c r="B122" s="265" t="s">
        <v>804</v>
      </c>
      <c r="C122" s="266" t="s">
        <v>1172</v>
      </c>
      <c r="D122" s="265" t="s">
        <v>40</v>
      </c>
      <c r="E122" s="265" t="s">
        <v>1173</v>
      </c>
      <c r="F122" s="267" t="s">
        <v>44</v>
      </c>
      <c r="G122" s="277">
        <v>12</v>
      </c>
      <c r="H122" s="268">
        <f t="shared" si="123"/>
        <v>965.13</v>
      </c>
      <c r="I122" s="287">
        <v>196.67</v>
      </c>
      <c r="J122" s="268">
        <f t="shared" si="56"/>
        <v>249.52</v>
      </c>
      <c r="K122" s="292">
        <v>768.46</v>
      </c>
      <c r="L122" s="268">
        <f t="shared" si="124"/>
        <v>974.95</v>
      </c>
      <c r="M122" s="268">
        <f t="shared" ref="M122:M125" si="129">L122+J122</f>
        <v>1224.47</v>
      </c>
      <c r="N122" s="268">
        <f t="shared" ref="N122:N125" si="130">J122*G122</f>
        <v>2994.24</v>
      </c>
      <c r="O122" s="268">
        <f t="shared" ref="O122:O125" si="131">L122*G122</f>
        <v>11699.4</v>
      </c>
      <c r="P122" s="268">
        <f t="shared" ref="P122:P125" si="132">O122+N122</f>
        <v>14693.64</v>
      </c>
      <c r="Q122" s="269">
        <f t="shared" si="61"/>
        <v>5.7999999999999996E-3</v>
      </c>
      <c r="R122" s="44"/>
      <c r="S122" s="49">
        <f t="shared" si="62"/>
        <v>11581.56</v>
      </c>
      <c r="T122" s="126"/>
      <c r="U122" s="48"/>
      <c r="V122" s="48"/>
      <c r="W122" s="48"/>
      <c r="X122" s="48"/>
      <c r="Y122" s="48"/>
      <c r="Z122" s="48"/>
      <c r="AA122" s="48"/>
      <c r="AB122" s="48"/>
      <c r="AC122" s="48"/>
      <c r="AD122" s="48"/>
      <c r="AE122" s="48"/>
      <c r="AF122" s="48"/>
      <c r="AG122" s="48"/>
      <c r="AH122" s="48"/>
      <c r="AI122" s="48"/>
      <c r="AJ122" s="44"/>
      <c r="AK122" s="44"/>
      <c r="AL122" s="44"/>
    </row>
    <row r="123" spans="1:38" x14ac:dyDescent="0.25">
      <c r="A123" s="94"/>
      <c r="B123" s="265" t="s">
        <v>805</v>
      </c>
      <c r="C123" s="266" t="s">
        <v>791</v>
      </c>
      <c r="D123" s="265" t="s">
        <v>51</v>
      </c>
      <c r="E123" s="265" t="s">
        <v>792</v>
      </c>
      <c r="F123" s="267" t="s">
        <v>44</v>
      </c>
      <c r="G123" s="277">
        <v>1</v>
      </c>
      <c r="H123" s="268">
        <v>1509.23</v>
      </c>
      <c r="I123" s="287">
        <f>38.55+62.94</f>
        <v>101.49</v>
      </c>
      <c r="J123" s="268">
        <f t="shared" si="56"/>
        <v>128.76</v>
      </c>
      <c r="K123" s="292">
        <f>H123-I123</f>
        <v>1407.74</v>
      </c>
      <c r="L123" s="268">
        <f t="shared" si="124"/>
        <v>1786</v>
      </c>
      <c r="M123" s="268">
        <f t="shared" si="129"/>
        <v>1914.76</v>
      </c>
      <c r="N123" s="268">
        <f t="shared" si="130"/>
        <v>128.76</v>
      </c>
      <c r="O123" s="268">
        <f t="shared" si="131"/>
        <v>1786</v>
      </c>
      <c r="P123" s="268">
        <f t="shared" si="132"/>
        <v>1914.76</v>
      </c>
      <c r="Q123" s="269">
        <f t="shared" si="61"/>
        <v>8.0000000000000004E-4</v>
      </c>
      <c r="R123" s="44"/>
      <c r="S123" s="49">
        <f t="shared" si="62"/>
        <v>1509.23</v>
      </c>
      <c r="T123" s="126"/>
      <c r="U123" s="48"/>
      <c r="V123" s="48"/>
      <c r="W123" s="48"/>
      <c r="X123" s="48"/>
      <c r="Y123" s="48"/>
      <c r="Z123" s="48"/>
      <c r="AA123" s="48"/>
      <c r="AB123" s="48"/>
      <c r="AC123" s="48"/>
      <c r="AD123" s="48"/>
      <c r="AE123" s="48"/>
      <c r="AF123" s="48"/>
      <c r="AG123" s="48"/>
      <c r="AH123" s="48"/>
      <c r="AI123" s="48"/>
      <c r="AJ123" s="44"/>
      <c r="AK123" s="44"/>
      <c r="AL123" s="44"/>
    </row>
    <row r="124" spans="1:38" x14ac:dyDescent="0.25">
      <c r="A124" s="94"/>
      <c r="B124" s="265" t="s">
        <v>806</v>
      </c>
      <c r="C124" s="266" t="s">
        <v>1352</v>
      </c>
      <c r="D124" s="265" t="s">
        <v>199</v>
      </c>
      <c r="E124" s="265" t="s">
        <v>1353</v>
      </c>
      <c r="F124" s="267" t="s">
        <v>41</v>
      </c>
      <c r="G124" s="277">
        <v>17.96</v>
      </c>
      <c r="H124" s="268">
        <v>544.69000000000005</v>
      </c>
      <c r="I124" s="287">
        <v>33.92</v>
      </c>
      <c r="J124" s="268">
        <f t="shared" si="56"/>
        <v>43.03</v>
      </c>
      <c r="K124" s="292">
        <f>H124-I124</f>
        <v>510.77</v>
      </c>
      <c r="L124" s="268">
        <f t="shared" si="124"/>
        <v>648.01</v>
      </c>
      <c r="M124" s="268">
        <f t="shared" si="129"/>
        <v>691.04</v>
      </c>
      <c r="N124" s="268">
        <f t="shared" si="130"/>
        <v>772.82</v>
      </c>
      <c r="O124" s="268">
        <f t="shared" si="131"/>
        <v>11638.26</v>
      </c>
      <c r="P124" s="268">
        <f t="shared" si="132"/>
        <v>12411.08</v>
      </c>
      <c r="Q124" s="269">
        <f t="shared" si="61"/>
        <v>4.8999999999999998E-3</v>
      </c>
      <c r="R124" s="44"/>
      <c r="S124" s="49">
        <f t="shared" si="62"/>
        <v>9782.6299999999992</v>
      </c>
      <c r="T124" s="126"/>
      <c r="U124" s="48"/>
      <c r="V124" s="48"/>
      <c r="W124" s="48"/>
      <c r="X124" s="48"/>
      <c r="Y124" s="48"/>
      <c r="Z124" s="48"/>
      <c r="AA124" s="48"/>
      <c r="AB124" s="48"/>
      <c r="AC124" s="48"/>
      <c r="AD124" s="48"/>
      <c r="AE124" s="48"/>
      <c r="AF124" s="48"/>
      <c r="AG124" s="48"/>
      <c r="AH124" s="48"/>
      <c r="AI124" s="48"/>
      <c r="AJ124" s="44"/>
      <c r="AK124" s="44"/>
      <c r="AL124" s="44"/>
    </row>
    <row r="125" spans="1:38" x14ac:dyDescent="0.25">
      <c r="A125" s="94"/>
      <c r="B125" s="265" t="s">
        <v>1425</v>
      </c>
      <c r="C125" s="266">
        <v>110016</v>
      </c>
      <c r="D125" s="265" t="s">
        <v>51</v>
      </c>
      <c r="E125" s="265" t="s">
        <v>1427</v>
      </c>
      <c r="F125" s="267" t="s">
        <v>44</v>
      </c>
      <c r="G125" s="277">
        <v>2</v>
      </c>
      <c r="H125" s="268">
        <v>1637.28</v>
      </c>
      <c r="I125" s="287">
        <f>48.08+79.71</f>
        <v>127.79</v>
      </c>
      <c r="J125" s="268">
        <f t="shared" si="56"/>
        <v>162.13</v>
      </c>
      <c r="K125" s="292">
        <f>H125-I125</f>
        <v>1509.49</v>
      </c>
      <c r="L125" s="268">
        <f t="shared" si="124"/>
        <v>1915.09</v>
      </c>
      <c r="M125" s="268">
        <f t="shared" si="129"/>
        <v>2077.2199999999998</v>
      </c>
      <c r="N125" s="268">
        <f t="shared" si="130"/>
        <v>324.26</v>
      </c>
      <c r="O125" s="268">
        <f t="shared" si="131"/>
        <v>3830.18</v>
      </c>
      <c r="P125" s="268">
        <f t="shared" si="132"/>
        <v>4154.4399999999996</v>
      </c>
      <c r="Q125" s="269">
        <f t="shared" si="61"/>
        <v>1.6000000000000001E-3</v>
      </c>
      <c r="R125" s="44"/>
      <c r="S125" s="49">
        <f t="shared" si="62"/>
        <v>3274.56</v>
      </c>
      <c r="T125" s="126"/>
      <c r="U125" s="48"/>
      <c r="V125" s="48"/>
      <c r="W125" s="48"/>
      <c r="X125" s="48"/>
      <c r="Y125" s="48"/>
      <c r="Z125" s="48"/>
      <c r="AA125" s="48"/>
      <c r="AB125" s="48"/>
      <c r="AC125" s="48"/>
      <c r="AD125" s="48"/>
      <c r="AE125" s="48"/>
      <c r="AF125" s="48"/>
      <c r="AG125" s="48"/>
      <c r="AH125" s="48"/>
      <c r="AI125" s="48"/>
      <c r="AJ125" s="44"/>
      <c r="AK125" s="44"/>
      <c r="AL125" s="44"/>
    </row>
    <row r="126" spans="1:38" x14ac:dyDescent="0.25">
      <c r="A126" s="94"/>
      <c r="B126" s="261" t="s">
        <v>179</v>
      </c>
      <c r="C126" s="261"/>
      <c r="D126" s="261"/>
      <c r="E126" s="261" t="s">
        <v>535</v>
      </c>
      <c r="F126" s="261"/>
      <c r="G126" s="276"/>
      <c r="H126" s="262"/>
      <c r="I126" s="286"/>
      <c r="J126" s="261"/>
      <c r="K126" s="291"/>
      <c r="L126" s="261"/>
      <c r="M126" s="261"/>
      <c r="N126" s="261"/>
      <c r="O126" s="261"/>
      <c r="P126" s="263"/>
      <c r="Q126" s="263"/>
      <c r="R126" s="44"/>
      <c r="S126" s="49">
        <f t="shared" si="62"/>
        <v>0</v>
      </c>
      <c r="T126" s="126"/>
      <c r="U126" s="48"/>
      <c r="V126" s="48"/>
      <c r="W126" s="48"/>
      <c r="X126" s="48"/>
      <c r="Y126" s="48"/>
      <c r="Z126" s="48"/>
      <c r="AA126" s="48"/>
      <c r="AB126" s="48"/>
      <c r="AC126" s="48"/>
      <c r="AD126" s="48"/>
      <c r="AE126" s="48"/>
      <c r="AF126" s="48"/>
      <c r="AG126" s="48"/>
      <c r="AH126" s="48"/>
      <c r="AI126" s="48"/>
      <c r="AJ126" s="44"/>
      <c r="AK126" s="44"/>
      <c r="AL126" s="44"/>
    </row>
    <row r="127" spans="1:38" x14ac:dyDescent="0.25">
      <c r="A127" s="94"/>
      <c r="B127" s="261" t="s">
        <v>807</v>
      </c>
      <c r="C127" s="261"/>
      <c r="D127" s="261"/>
      <c r="E127" s="261" t="s">
        <v>537</v>
      </c>
      <c r="F127" s="261"/>
      <c r="G127" s="276"/>
      <c r="H127" s="262"/>
      <c r="I127" s="286"/>
      <c r="J127" s="261"/>
      <c r="K127" s="291"/>
      <c r="L127" s="261"/>
      <c r="M127" s="261"/>
      <c r="N127" s="261"/>
      <c r="O127" s="261"/>
      <c r="P127" s="263"/>
      <c r="Q127" s="263"/>
      <c r="R127" s="44"/>
      <c r="S127" s="49">
        <f t="shared" si="62"/>
        <v>0</v>
      </c>
      <c r="T127" s="126"/>
      <c r="U127" s="48"/>
      <c r="V127" s="48"/>
      <c r="W127" s="48"/>
      <c r="X127" s="48"/>
      <c r="Y127" s="48"/>
      <c r="Z127" s="48"/>
      <c r="AA127" s="48"/>
      <c r="AB127" s="48"/>
      <c r="AC127" s="48"/>
      <c r="AD127" s="48"/>
      <c r="AE127" s="48"/>
      <c r="AF127" s="48"/>
      <c r="AG127" s="48"/>
      <c r="AH127" s="48"/>
      <c r="AI127" s="48"/>
      <c r="AJ127" s="44"/>
      <c r="AK127" s="44"/>
      <c r="AL127" s="44"/>
    </row>
    <row r="128" spans="1:38" ht="27.6" x14ac:dyDescent="0.25">
      <c r="A128" s="94"/>
      <c r="B128" s="265" t="s">
        <v>808</v>
      </c>
      <c r="C128" s="266" t="s">
        <v>247</v>
      </c>
      <c r="D128" s="265" t="s">
        <v>40</v>
      </c>
      <c r="E128" s="265" t="s">
        <v>248</v>
      </c>
      <c r="F128" s="267" t="s">
        <v>41</v>
      </c>
      <c r="G128" s="277">
        <v>14.07</v>
      </c>
      <c r="H128" s="268">
        <f t="shared" ref="H128:H137" si="133">I128+K128</f>
        <v>587.91999999999996</v>
      </c>
      <c r="I128" s="287">
        <v>9.0500000000000007</v>
      </c>
      <c r="J128" s="268">
        <f t="shared" si="56"/>
        <v>11.48</v>
      </c>
      <c r="K128" s="292">
        <v>578.87</v>
      </c>
      <c r="L128" s="268">
        <f t="shared" ref="L128:L137" si="134">K128*(1+$M$9)</f>
        <v>734.41</v>
      </c>
      <c r="M128" s="268">
        <f t="shared" ref="M128" si="135">L128+J128</f>
        <v>745.89</v>
      </c>
      <c r="N128" s="268">
        <f t="shared" ref="N128" si="136">J128*G128</f>
        <v>161.52000000000001</v>
      </c>
      <c r="O128" s="268">
        <f t="shared" ref="O128" si="137">L128*G128</f>
        <v>10333.15</v>
      </c>
      <c r="P128" s="268">
        <f t="shared" ref="P128" si="138">O128+N128</f>
        <v>10494.67</v>
      </c>
      <c r="Q128" s="269">
        <f t="shared" si="61"/>
        <v>4.1999999999999997E-3</v>
      </c>
      <c r="R128" s="44"/>
      <c r="S128" s="49">
        <f t="shared" si="62"/>
        <v>8272.0300000000007</v>
      </c>
      <c r="T128" s="126"/>
      <c r="U128" s="48"/>
      <c r="V128" s="48"/>
      <c r="W128" s="48"/>
      <c r="X128" s="48"/>
      <c r="Y128" s="48"/>
      <c r="Z128" s="48"/>
      <c r="AA128" s="48"/>
      <c r="AB128" s="48"/>
      <c r="AC128" s="48"/>
      <c r="AD128" s="48"/>
      <c r="AE128" s="48"/>
      <c r="AF128" s="48"/>
      <c r="AG128" s="48"/>
      <c r="AH128" s="48"/>
      <c r="AI128" s="48"/>
      <c r="AJ128" s="44"/>
      <c r="AK128" s="44"/>
      <c r="AL128" s="44"/>
    </row>
    <row r="129" spans="1:38" x14ac:dyDescent="0.25">
      <c r="A129" s="94"/>
      <c r="B129" s="265" t="s">
        <v>809</v>
      </c>
      <c r="C129" s="266" t="s">
        <v>1016</v>
      </c>
      <c r="D129" s="265" t="s">
        <v>199</v>
      </c>
      <c r="E129" s="265" t="s">
        <v>1017</v>
      </c>
      <c r="F129" s="267" t="s">
        <v>41</v>
      </c>
      <c r="G129" s="277">
        <v>6.93</v>
      </c>
      <c r="H129" s="268">
        <v>1097.54</v>
      </c>
      <c r="I129" s="287">
        <f>67.83+55.71</f>
        <v>123.54</v>
      </c>
      <c r="J129" s="268">
        <f t="shared" si="56"/>
        <v>156.74</v>
      </c>
      <c r="K129" s="292">
        <f>H129-I129</f>
        <v>974</v>
      </c>
      <c r="L129" s="268">
        <f t="shared" si="134"/>
        <v>1235.71</v>
      </c>
      <c r="M129" s="268">
        <f t="shared" ref="M129:M133" si="139">L129+J129</f>
        <v>1392.45</v>
      </c>
      <c r="N129" s="268">
        <f t="shared" ref="N129:N133" si="140">J129*G129</f>
        <v>1086.21</v>
      </c>
      <c r="O129" s="268">
        <f t="shared" ref="O129:O133" si="141">L129*G129</f>
        <v>8563.4699999999993</v>
      </c>
      <c r="P129" s="268">
        <f t="shared" ref="P129:P133" si="142">O129+N129</f>
        <v>9649.68</v>
      </c>
      <c r="Q129" s="269">
        <f t="shared" si="61"/>
        <v>3.8E-3</v>
      </c>
      <c r="R129" s="44"/>
      <c r="S129" s="49">
        <f t="shared" si="62"/>
        <v>7605.95</v>
      </c>
      <c r="T129" s="126"/>
      <c r="U129" s="48"/>
      <c r="V129" s="48"/>
      <c r="W129" s="48"/>
      <c r="X129" s="48"/>
      <c r="Y129" s="48"/>
      <c r="Z129" s="48"/>
      <c r="AA129" s="48"/>
      <c r="AB129" s="48"/>
      <c r="AC129" s="48"/>
      <c r="AD129" s="48"/>
      <c r="AE129" s="48"/>
      <c r="AF129" s="48"/>
      <c r="AG129" s="48"/>
      <c r="AH129" s="48"/>
      <c r="AI129" s="48"/>
      <c r="AJ129" s="44"/>
      <c r="AK129" s="44"/>
      <c r="AL129" s="44"/>
    </row>
    <row r="130" spans="1:38" ht="41.4" x14ac:dyDescent="0.25">
      <c r="A130" s="94"/>
      <c r="B130" s="293" t="s">
        <v>810</v>
      </c>
      <c r="C130" s="266" t="s">
        <v>1018</v>
      </c>
      <c r="D130" s="265" t="s">
        <v>551</v>
      </c>
      <c r="E130" s="265" t="s">
        <v>1019</v>
      </c>
      <c r="F130" s="267" t="s">
        <v>41</v>
      </c>
      <c r="G130" s="277">
        <v>17.760000000000002</v>
      </c>
      <c r="H130" s="268">
        <f t="shared" si="133"/>
        <v>0</v>
      </c>
      <c r="I130" s="287"/>
      <c r="J130" s="268">
        <f t="shared" si="56"/>
        <v>0</v>
      </c>
      <c r="K130" s="292"/>
      <c r="L130" s="268">
        <f t="shared" si="134"/>
        <v>0</v>
      </c>
      <c r="M130" s="268">
        <f t="shared" si="139"/>
        <v>0</v>
      </c>
      <c r="N130" s="268">
        <f t="shared" si="140"/>
        <v>0</v>
      </c>
      <c r="O130" s="268">
        <f t="shared" si="141"/>
        <v>0</v>
      </c>
      <c r="P130" s="268">
        <f t="shared" si="142"/>
        <v>0</v>
      </c>
      <c r="Q130" s="269">
        <f t="shared" si="61"/>
        <v>0</v>
      </c>
      <c r="R130" s="44"/>
      <c r="S130" s="49">
        <f t="shared" si="62"/>
        <v>0</v>
      </c>
      <c r="T130" s="126"/>
      <c r="U130" s="48"/>
      <c r="V130" s="48"/>
      <c r="W130" s="48"/>
      <c r="X130" s="48"/>
      <c r="Y130" s="48"/>
      <c r="Z130" s="48"/>
      <c r="AA130" s="48"/>
      <c r="AB130" s="48"/>
      <c r="AC130" s="48"/>
      <c r="AD130" s="48"/>
      <c r="AE130" s="48"/>
      <c r="AF130" s="48"/>
      <c r="AG130" s="48"/>
      <c r="AH130" s="48"/>
      <c r="AI130" s="48"/>
      <c r="AJ130" s="44"/>
      <c r="AK130" s="44"/>
      <c r="AL130" s="44"/>
    </row>
    <row r="131" spans="1:38" x14ac:dyDescent="0.25">
      <c r="A131" s="94"/>
      <c r="B131" s="265" t="s">
        <v>811</v>
      </c>
      <c r="C131" s="266" t="s">
        <v>1460</v>
      </c>
      <c r="D131" s="265" t="s">
        <v>199</v>
      </c>
      <c r="E131" s="265" t="s">
        <v>1461</v>
      </c>
      <c r="F131" s="267" t="s">
        <v>41</v>
      </c>
      <c r="G131" s="277">
        <v>8.08</v>
      </c>
      <c r="H131" s="268">
        <v>1036.18</v>
      </c>
      <c r="I131" s="287">
        <f>22.61+37.14</f>
        <v>59.75</v>
      </c>
      <c r="J131" s="268">
        <f t="shared" si="56"/>
        <v>75.8</v>
      </c>
      <c r="K131" s="292">
        <f>H131-I131</f>
        <v>976.43</v>
      </c>
      <c r="L131" s="268">
        <f t="shared" si="134"/>
        <v>1238.8</v>
      </c>
      <c r="M131" s="268">
        <f t="shared" si="139"/>
        <v>1314.6</v>
      </c>
      <c r="N131" s="268">
        <f t="shared" si="140"/>
        <v>612.46</v>
      </c>
      <c r="O131" s="268">
        <f t="shared" si="141"/>
        <v>10009.5</v>
      </c>
      <c r="P131" s="268">
        <f t="shared" si="142"/>
        <v>10621.96</v>
      </c>
      <c r="Q131" s="269">
        <f t="shared" si="61"/>
        <v>4.1999999999999997E-3</v>
      </c>
      <c r="R131" s="44"/>
      <c r="S131" s="49">
        <f t="shared" si="62"/>
        <v>8372.33</v>
      </c>
      <c r="T131" s="126"/>
      <c r="U131" s="48"/>
      <c r="V131" s="48"/>
      <c r="W131" s="48"/>
      <c r="X131" s="48"/>
      <c r="Y131" s="48"/>
      <c r="Z131" s="48"/>
      <c r="AA131" s="48"/>
      <c r="AB131" s="48"/>
      <c r="AC131" s="48"/>
      <c r="AD131" s="48"/>
      <c r="AE131" s="48"/>
      <c r="AF131" s="48"/>
      <c r="AG131" s="48"/>
      <c r="AH131" s="48"/>
      <c r="AI131" s="48"/>
      <c r="AJ131" s="44"/>
      <c r="AK131" s="44"/>
      <c r="AL131" s="44"/>
    </row>
    <row r="132" spans="1:38" x14ac:dyDescent="0.25">
      <c r="A132" s="94"/>
      <c r="B132" s="265" t="s">
        <v>1428</v>
      </c>
      <c r="C132" s="266" t="s">
        <v>1429</v>
      </c>
      <c r="D132" s="265" t="s">
        <v>51</v>
      </c>
      <c r="E132" s="265" t="s">
        <v>1430</v>
      </c>
      <c r="F132" s="267" t="s">
        <v>41</v>
      </c>
      <c r="G132" s="277">
        <v>2.52</v>
      </c>
      <c r="H132" s="268">
        <v>1063.5899999999999</v>
      </c>
      <c r="I132" s="287">
        <f>225.79+251.75</f>
        <v>477.54</v>
      </c>
      <c r="J132" s="268">
        <f t="shared" si="56"/>
        <v>605.85</v>
      </c>
      <c r="K132" s="292">
        <f>H132-I132</f>
        <v>586.04999999999995</v>
      </c>
      <c r="L132" s="268">
        <f t="shared" si="134"/>
        <v>743.52</v>
      </c>
      <c r="M132" s="268">
        <f t="shared" si="139"/>
        <v>1349.37</v>
      </c>
      <c r="N132" s="268">
        <f t="shared" si="140"/>
        <v>1526.74</v>
      </c>
      <c r="O132" s="268">
        <f t="shared" si="141"/>
        <v>1873.67</v>
      </c>
      <c r="P132" s="268">
        <f t="shared" si="142"/>
        <v>3400.41</v>
      </c>
      <c r="Q132" s="269">
        <f t="shared" si="61"/>
        <v>1.2999999999999999E-3</v>
      </c>
      <c r="R132" s="44"/>
      <c r="S132" s="49">
        <f t="shared" si="62"/>
        <v>2680.25</v>
      </c>
      <c r="T132" s="126"/>
      <c r="U132" s="48"/>
      <c r="V132" s="48"/>
      <c r="W132" s="48"/>
      <c r="X132" s="48"/>
      <c r="Y132" s="48"/>
      <c r="Z132" s="48"/>
      <c r="AA132" s="48"/>
      <c r="AB132" s="48"/>
      <c r="AC132" s="48"/>
      <c r="AD132" s="48"/>
      <c r="AE132" s="48"/>
      <c r="AF132" s="48"/>
      <c r="AG132" s="48"/>
      <c r="AH132" s="48"/>
      <c r="AI132" s="48"/>
      <c r="AJ132" s="44"/>
      <c r="AK132" s="44"/>
      <c r="AL132" s="44"/>
    </row>
    <row r="133" spans="1:38" ht="27.6" x14ac:dyDescent="0.25">
      <c r="A133" s="94"/>
      <c r="B133" s="265" t="s">
        <v>1462</v>
      </c>
      <c r="C133" s="266" t="s">
        <v>1463</v>
      </c>
      <c r="D133" s="265" t="s">
        <v>146</v>
      </c>
      <c r="E133" s="265" t="s">
        <v>1464</v>
      </c>
      <c r="F133" s="267" t="s">
        <v>41</v>
      </c>
      <c r="G133" s="277">
        <v>9.8000000000000007</v>
      </c>
      <c r="H133" s="268">
        <v>400.76</v>
      </c>
      <c r="I133" s="287">
        <f>3.8+5.85+19.13+20.48</f>
        <v>49.26</v>
      </c>
      <c r="J133" s="268">
        <f t="shared" si="56"/>
        <v>62.5</v>
      </c>
      <c r="K133" s="292">
        <f>H133-I133</f>
        <v>351.5</v>
      </c>
      <c r="L133" s="268">
        <f t="shared" si="134"/>
        <v>445.95</v>
      </c>
      <c r="M133" s="268">
        <f t="shared" si="139"/>
        <v>508.45</v>
      </c>
      <c r="N133" s="268">
        <f t="shared" si="140"/>
        <v>612.5</v>
      </c>
      <c r="O133" s="268">
        <f t="shared" si="141"/>
        <v>4370.3100000000004</v>
      </c>
      <c r="P133" s="268">
        <f t="shared" si="142"/>
        <v>4982.8100000000004</v>
      </c>
      <c r="Q133" s="269">
        <f t="shared" si="61"/>
        <v>2E-3</v>
      </c>
      <c r="R133" s="44"/>
      <c r="S133" s="49">
        <f t="shared" si="62"/>
        <v>3927.45</v>
      </c>
      <c r="T133" s="126"/>
      <c r="U133" s="48"/>
      <c r="V133" s="48"/>
      <c r="W133" s="48"/>
      <c r="X133" s="48"/>
      <c r="Y133" s="48"/>
      <c r="Z133" s="48"/>
      <c r="AA133" s="48"/>
      <c r="AB133" s="48"/>
      <c r="AC133" s="48"/>
      <c r="AD133" s="48"/>
      <c r="AE133" s="48"/>
      <c r="AF133" s="48"/>
      <c r="AG133" s="48"/>
      <c r="AH133" s="48"/>
      <c r="AI133" s="48"/>
      <c r="AJ133" s="44"/>
      <c r="AK133" s="44"/>
      <c r="AL133" s="44"/>
    </row>
    <row r="134" spans="1:38" x14ac:dyDescent="0.25">
      <c r="A134" s="94"/>
      <c r="B134" s="261" t="s">
        <v>812</v>
      </c>
      <c r="C134" s="261"/>
      <c r="D134" s="261"/>
      <c r="E134" s="261" t="s">
        <v>539</v>
      </c>
      <c r="F134" s="261"/>
      <c r="G134" s="276"/>
      <c r="H134" s="262"/>
      <c r="I134" s="286"/>
      <c r="J134" s="261"/>
      <c r="K134" s="291"/>
      <c r="L134" s="261"/>
      <c r="M134" s="261"/>
      <c r="N134" s="261"/>
      <c r="O134" s="261"/>
      <c r="P134" s="263"/>
      <c r="Q134" s="263"/>
      <c r="R134" s="44"/>
      <c r="S134" s="49">
        <f t="shared" si="62"/>
        <v>0</v>
      </c>
      <c r="T134" s="126"/>
      <c r="U134" s="48"/>
      <c r="V134" s="48"/>
      <c r="W134" s="48"/>
      <c r="X134" s="48"/>
      <c r="Y134" s="48"/>
      <c r="Z134" s="48"/>
      <c r="AA134" s="48"/>
      <c r="AB134" s="48"/>
      <c r="AC134" s="48"/>
      <c r="AD134" s="48"/>
      <c r="AE134" s="48"/>
      <c r="AF134" s="48"/>
      <c r="AG134" s="48"/>
      <c r="AH134" s="48"/>
      <c r="AI134" s="48"/>
      <c r="AJ134" s="44"/>
      <c r="AK134" s="44"/>
      <c r="AL134" s="44"/>
    </row>
    <row r="135" spans="1:38" ht="27.6" x14ac:dyDescent="0.25">
      <c r="A135" s="94"/>
      <c r="B135" s="265" t="s">
        <v>813</v>
      </c>
      <c r="C135" s="266" t="s">
        <v>249</v>
      </c>
      <c r="D135" s="265" t="s">
        <v>40</v>
      </c>
      <c r="E135" s="265" t="s">
        <v>250</v>
      </c>
      <c r="F135" s="267" t="s">
        <v>41</v>
      </c>
      <c r="G135" s="277">
        <v>28.52</v>
      </c>
      <c r="H135" s="268">
        <f t="shared" si="133"/>
        <v>384.6</v>
      </c>
      <c r="I135" s="287">
        <v>25.73</v>
      </c>
      <c r="J135" s="268">
        <f t="shared" si="56"/>
        <v>32.64</v>
      </c>
      <c r="K135" s="292">
        <v>358.87</v>
      </c>
      <c r="L135" s="268">
        <f t="shared" si="134"/>
        <v>455.3</v>
      </c>
      <c r="M135" s="268">
        <f t="shared" ref="M135" si="143">L135+J135</f>
        <v>487.94</v>
      </c>
      <c r="N135" s="268">
        <f t="shared" ref="N135" si="144">J135*G135</f>
        <v>930.89</v>
      </c>
      <c r="O135" s="268">
        <f t="shared" ref="O135" si="145">L135*G135</f>
        <v>12985.16</v>
      </c>
      <c r="P135" s="268">
        <f t="shared" ref="P135" si="146">O135+N135</f>
        <v>13916.05</v>
      </c>
      <c r="Q135" s="269">
        <f t="shared" si="61"/>
        <v>5.4999999999999997E-3</v>
      </c>
      <c r="R135" s="44"/>
      <c r="S135" s="49">
        <f t="shared" si="62"/>
        <v>10968.79</v>
      </c>
      <c r="T135" s="126"/>
      <c r="U135" s="48"/>
      <c r="V135" s="48"/>
      <c r="W135" s="48"/>
      <c r="X135" s="48"/>
      <c r="Y135" s="48"/>
      <c r="Z135" s="48"/>
      <c r="AA135" s="48"/>
      <c r="AB135" s="48"/>
      <c r="AC135" s="48"/>
      <c r="AD135" s="48"/>
      <c r="AE135" s="48"/>
      <c r="AF135" s="48"/>
      <c r="AG135" s="48"/>
      <c r="AH135" s="48"/>
      <c r="AI135" s="48"/>
      <c r="AJ135" s="44"/>
      <c r="AK135" s="44"/>
      <c r="AL135" s="44"/>
    </row>
    <row r="136" spans="1:38" ht="41.4" customHeight="1" x14ac:dyDescent="0.25">
      <c r="A136" s="94"/>
      <c r="B136" s="265" t="s">
        <v>814</v>
      </c>
      <c r="C136" s="266" t="s">
        <v>1366</v>
      </c>
      <c r="D136" s="265" t="s">
        <v>40</v>
      </c>
      <c r="E136" s="265" t="s">
        <v>1367</v>
      </c>
      <c r="F136" s="267" t="s">
        <v>41</v>
      </c>
      <c r="G136" s="277">
        <v>39.93</v>
      </c>
      <c r="H136" s="268">
        <f t="shared" si="133"/>
        <v>221.3</v>
      </c>
      <c r="I136" s="287">
        <v>7.93</v>
      </c>
      <c r="J136" s="268">
        <f t="shared" si="56"/>
        <v>10.06</v>
      </c>
      <c r="K136" s="292">
        <v>213.37</v>
      </c>
      <c r="L136" s="268">
        <f t="shared" si="134"/>
        <v>270.7</v>
      </c>
      <c r="M136" s="268">
        <f t="shared" ref="M136:M137" si="147">L136+J136</f>
        <v>280.76</v>
      </c>
      <c r="N136" s="268">
        <f t="shared" ref="N136:N137" si="148">J136*G136</f>
        <v>401.7</v>
      </c>
      <c r="O136" s="268">
        <f t="shared" ref="O136:O137" si="149">L136*G136</f>
        <v>10809.05</v>
      </c>
      <c r="P136" s="268">
        <f t="shared" ref="P136:P137" si="150">O136+N136</f>
        <v>11210.75</v>
      </c>
      <c r="Q136" s="269">
        <f t="shared" si="61"/>
        <v>4.4000000000000003E-3</v>
      </c>
      <c r="R136" s="44"/>
      <c r="S136" s="49">
        <f t="shared" si="62"/>
        <v>8836.51</v>
      </c>
      <c r="T136" s="126"/>
      <c r="U136" s="48"/>
      <c r="V136" s="48"/>
      <c r="W136" s="48"/>
      <c r="X136" s="48"/>
      <c r="Y136" s="48"/>
      <c r="Z136" s="48"/>
      <c r="AA136" s="48"/>
      <c r="AB136" s="48"/>
      <c r="AC136" s="48"/>
      <c r="AD136" s="48"/>
      <c r="AE136" s="48"/>
      <c r="AF136" s="48"/>
      <c r="AG136" s="48"/>
      <c r="AH136" s="48"/>
      <c r="AI136" s="48"/>
      <c r="AJ136" s="44"/>
      <c r="AK136" s="44"/>
      <c r="AL136" s="44"/>
    </row>
    <row r="137" spans="1:38" ht="41.4" x14ac:dyDescent="0.25">
      <c r="A137" s="94"/>
      <c r="B137" s="265" t="s">
        <v>815</v>
      </c>
      <c r="C137" s="266" t="s">
        <v>1465</v>
      </c>
      <c r="D137" s="265" t="s">
        <v>40</v>
      </c>
      <c r="E137" s="265" t="s">
        <v>1466</v>
      </c>
      <c r="F137" s="267" t="s">
        <v>41</v>
      </c>
      <c r="G137" s="277">
        <v>4.32</v>
      </c>
      <c r="H137" s="268">
        <f t="shared" si="133"/>
        <v>200.91</v>
      </c>
      <c r="I137" s="287">
        <v>7.95</v>
      </c>
      <c r="J137" s="268">
        <f t="shared" si="56"/>
        <v>10.09</v>
      </c>
      <c r="K137" s="292">
        <v>192.96</v>
      </c>
      <c r="L137" s="268">
        <f t="shared" si="134"/>
        <v>244.81</v>
      </c>
      <c r="M137" s="268">
        <f t="shared" si="147"/>
        <v>254.9</v>
      </c>
      <c r="N137" s="268">
        <f t="shared" si="148"/>
        <v>43.59</v>
      </c>
      <c r="O137" s="268">
        <f t="shared" si="149"/>
        <v>1057.58</v>
      </c>
      <c r="P137" s="268">
        <f t="shared" si="150"/>
        <v>1101.17</v>
      </c>
      <c r="Q137" s="269">
        <f t="shared" si="61"/>
        <v>4.0000000000000002E-4</v>
      </c>
      <c r="R137" s="44"/>
      <c r="S137" s="49">
        <f t="shared" si="62"/>
        <v>867.93</v>
      </c>
      <c r="T137" s="126"/>
      <c r="U137" s="48"/>
      <c r="V137" s="48"/>
      <c r="W137" s="48"/>
      <c r="X137" s="48"/>
      <c r="Y137" s="48"/>
      <c r="Z137" s="48"/>
      <c r="AA137" s="48"/>
      <c r="AB137" s="48"/>
      <c r="AC137" s="48"/>
      <c r="AD137" s="48"/>
      <c r="AE137" s="48"/>
      <c r="AF137" s="48"/>
      <c r="AG137" s="48"/>
      <c r="AH137" s="48"/>
      <c r="AI137" s="48"/>
      <c r="AJ137" s="44"/>
      <c r="AK137" s="44"/>
      <c r="AL137" s="44"/>
    </row>
    <row r="138" spans="1:38" x14ac:dyDescent="0.25">
      <c r="A138" s="94"/>
      <c r="B138" s="261" t="s">
        <v>195</v>
      </c>
      <c r="C138" s="261"/>
      <c r="D138" s="261"/>
      <c r="E138" s="261" t="s">
        <v>541</v>
      </c>
      <c r="F138" s="261"/>
      <c r="G138" s="276"/>
      <c r="H138" s="262"/>
      <c r="I138" s="286"/>
      <c r="J138" s="261"/>
      <c r="K138" s="291"/>
      <c r="L138" s="261"/>
      <c r="M138" s="261"/>
      <c r="N138" s="261"/>
      <c r="O138" s="261"/>
      <c r="P138" s="263"/>
      <c r="Q138" s="263"/>
      <c r="R138" s="44"/>
      <c r="S138" s="49">
        <f t="shared" si="62"/>
        <v>0</v>
      </c>
      <c r="T138" s="126"/>
      <c r="U138" s="48"/>
      <c r="V138" s="48"/>
      <c r="W138" s="48"/>
      <c r="X138" s="48"/>
      <c r="Y138" s="48"/>
      <c r="Z138" s="48"/>
      <c r="AA138" s="48"/>
      <c r="AB138" s="48"/>
      <c r="AC138" s="48"/>
      <c r="AD138" s="48"/>
      <c r="AE138" s="48"/>
      <c r="AF138" s="48"/>
      <c r="AG138" s="48"/>
      <c r="AH138" s="48"/>
      <c r="AI138" s="48"/>
      <c r="AJ138" s="44"/>
      <c r="AK138" s="44"/>
      <c r="AL138" s="44"/>
    </row>
    <row r="139" spans="1:38" x14ac:dyDescent="0.25">
      <c r="A139" s="94"/>
      <c r="B139" s="261" t="s">
        <v>816</v>
      </c>
      <c r="C139" s="261"/>
      <c r="D139" s="261"/>
      <c r="E139" s="261" t="s">
        <v>542</v>
      </c>
      <c r="F139" s="261"/>
      <c r="G139" s="276"/>
      <c r="H139" s="262"/>
      <c r="I139" s="286"/>
      <c r="J139" s="261"/>
      <c r="K139" s="291"/>
      <c r="L139" s="261"/>
      <c r="M139" s="261"/>
      <c r="N139" s="261"/>
      <c r="O139" s="261"/>
      <c r="P139" s="263"/>
      <c r="Q139" s="263"/>
      <c r="R139" s="44"/>
      <c r="S139" s="49">
        <f t="shared" si="62"/>
        <v>0</v>
      </c>
      <c r="T139" s="126"/>
      <c r="U139" s="48"/>
      <c r="V139" s="48"/>
      <c r="W139" s="48"/>
      <c r="X139" s="48"/>
      <c r="Y139" s="48"/>
      <c r="Z139" s="48"/>
      <c r="AA139" s="48"/>
      <c r="AB139" s="48"/>
      <c r="AC139" s="48"/>
      <c r="AD139" s="48"/>
      <c r="AE139" s="48"/>
      <c r="AF139" s="48"/>
      <c r="AG139" s="48"/>
      <c r="AH139" s="48"/>
      <c r="AI139" s="48"/>
      <c r="AJ139" s="44"/>
      <c r="AK139" s="44"/>
      <c r="AL139" s="44"/>
    </row>
    <row r="140" spans="1:38" ht="41.4" customHeight="1" x14ac:dyDescent="0.25">
      <c r="A140" s="94"/>
      <c r="B140" s="265" t="s">
        <v>817</v>
      </c>
      <c r="C140" s="266" t="s">
        <v>543</v>
      </c>
      <c r="D140" s="265" t="s">
        <v>146</v>
      </c>
      <c r="E140" s="265" t="s">
        <v>1020</v>
      </c>
      <c r="F140" s="267" t="s">
        <v>41</v>
      </c>
      <c r="G140" s="277">
        <v>3.15</v>
      </c>
      <c r="H140" s="268">
        <v>650.09</v>
      </c>
      <c r="I140" s="287">
        <f>9.04+7.41+45.53+25.94</f>
        <v>87.92</v>
      </c>
      <c r="J140" s="268">
        <f t="shared" si="56"/>
        <v>111.54</v>
      </c>
      <c r="K140" s="292">
        <f>H140-I140</f>
        <v>562.16999999999996</v>
      </c>
      <c r="L140" s="268">
        <f t="shared" ref="L140:L148" si="151">K140*(1+$M$9)</f>
        <v>713.23</v>
      </c>
      <c r="M140" s="268">
        <f t="shared" ref="M140" si="152">L140+J140</f>
        <v>824.77</v>
      </c>
      <c r="N140" s="268">
        <f t="shared" ref="N140" si="153">J140*G140</f>
        <v>351.35</v>
      </c>
      <c r="O140" s="268">
        <f t="shared" ref="O140" si="154">L140*G140</f>
        <v>2246.67</v>
      </c>
      <c r="P140" s="268">
        <f t="shared" ref="P140" si="155">O140+N140</f>
        <v>2598.02</v>
      </c>
      <c r="Q140" s="269">
        <f t="shared" si="61"/>
        <v>1E-3</v>
      </c>
      <c r="R140" s="44"/>
      <c r="S140" s="49">
        <f t="shared" si="62"/>
        <v>2047.78</v>
      </c>
      <c r="T140" s="126"/>
      <c r="U140" s="48"/>
      <c r="V140" s="48"/>
      <c r="W140" s="48"/>
      <c r="X140" s="48"/>
      <c r="Y140" s="48"/>
      <c r="Z140" s="48"/>
      <c r="AA140" s="48"/>
      <c r="AB140" s="48"/>
      <c r="AC140" s="48"/>
      <c r="AD140" s="48"/>
      <c r="AE140" s="48"/>
      <c r="AF140" s="48"/>
      <c r="AG140" s="48"/>
      <c r="AH140" s="48"/>
      <c r="AI140" s="48"/>
      <c r="AJ140" s="44"/>
      <c r="AK140" s="44"/>
      <c r="AL140" s="44"/>
    </row>
    <row r="141" spans="1:38" x14ac:dyDescent="0.25">
      <c r="A141" s="94"/>
      <c r="B141" s="261" t="s">
        <v>818</v>
      </c>
      <c r="C141" s="261"/>
      <c r="D141" s="261"/>
      <c r="E141" s="261" t="s">
        <v>544</v>
      </c>
      <c r="F141" s="261"/>
      <c r="G141" s="276"/>
      <c r="H141" s="262"/>
      <c r="I141" s="286"/>
      <c r="J141" s="261"/>
      <c r="K141" s="291"/>
      <c r="L141" s="261"/>
      <c r="M141" s="261"/>
      <c r="N141" s="261"/>
      <c r="O141" s="261"/>
      <c r="P141" s="263"/>
      <c r="Q141" s="263"/>
      <c r="R141" s="44"/>
      <c r="S141" s="49">
        <f t="shared" si="62"/>
        <v>0</v>
      </c>
      <c r="T141" s="126"/>
      <c r="U141" s="48"/>
      <c r="V141" s="48"/>
      <c r="W141" s="48"/>
      <c r="X141" s="48"/>
      <c r="Y141" s="48"/>
      <c r="Z141" s="48"/>
      <c r="AA141" s="48"/>
      <c r="AB141" s="48"/>
      <c r="AC141" s="48"/>
      <c r="AD141" s="48"/>
      <c r="AE141" s="48"/>
      <c r="AF141" s="48"/>
      <c r="AG141" s="48"/>
      <c r="AH141" s="48"/>
      <c r="AI141" s="48"/>
      <c r="AJ141" s="44"/>
      <c r="AK141" s="44"/>
      <c r="AL141" s="44"/>
    </row>
    <row r="142" spans="1:38" x14ac:dyDescent="0.25">
      <c r="A142" s="94"/>
      <c r="B142" s="265" t="s">
        <v>819</v>
      </c>
      <c r="C142" s="266" t="s">
        <v>545</v>
      </c>
      <c r="D142" s="265" t="s">
        <v>199</v>
      </c>
      <c r="E142" s="265" t="s">
        <v>760</v>
      </c>
      <c r="F142" s="267" t="s">
        <v>168</v>
      </c>
      <c r="G142" s="277">
        <v>9</v>
      </c>
      <c r="H142" s="268">
        <v>461.77</v>
      </c>
      <c r="I142" s="287">
        <f>27.86+44.24</f>
        <v>72.099999999999994</v>
      </c>
      <c r="J142" s="268">
        <f t="shared" si="56"/>
        <v>91.47</v>
      </c>
      <c r="K142" s="292">
        <f>H142-I142</f>
        <v>389.67</v>
      </c>
      <c r="L142" s="268">
        <f t="shared" si="151"/>
        <v>494.37</v>
      </c>
      <c r="M142" s="268">
        <f t="shared" ref="M142" si="156">L142+J142</f>
        <v>585.84</v>
      </c>
      <c r="N142" s="268">
        <f t="shared" ref="N142" si="157">J142*G142</f>
        <v>823.23</v>
      </c>
      <c r="O142" s="268">
        <f t="shared" ref="O142" si="158">L142*G142</f>
        <v>4449.33</v>
      </c>
      <c r="P142" s="268">
        <f t="shared" ref="P142" si="159">O142+N142</f>
        <v>5272.56</v>
      </c>
      <c r="Q142" s="269">
        <f t="shared" si="61"/>
        <v>2.0999999999999999E-3</v>
      </c>
      <c r="R142" s="44"/>
      <c r="S142" s="49">
        <f t="shared" si="62"/>
        <v>4155.93</v>
      </c>
      <c r="T142" s="126"/>
      <c r="U142" s="48"/>
      <c r="V142" s="48"/>
      <c r="W142" s="48"/>
      <c r="X142" s="48"/>
      <c r="Y142" s="48"/>
      <c r="Z142" s="48"/>
      <c r="AA142" s="48"/>
      <c r="AB142" s="48"/>
      <c r="AC142" s="48"/>
      <c r="AD142" s="48"/>
      <c r="AE142" s="48"/>
      <c r="AF142" s="48"/>
      <c r="AG142" s="48"/>
      <c r="AH142" s="48"/>
      <c r="AI142" s="48"/>
      <c r="AJ142" s="44"/>
      <c r="AK142" s="44"/>
      <c r="AL142" s="44"/>
    </row>
    <row r="143" spans="1:38" x14ac:dyDescent="0.25">
      <c r="A143" s="94"/>
      <c r="B143" s="265" t="s">
        <v>820</v>
      </c>
      <c r="C143" s="266" t="s">
        <v>266</v>
      </c>
      <c r="D143" s="265" t="s">
        <v>146</v>
      </c>
      <c r="E143" s="265" t="s">
        <v>267</v>
      </c>
      <c r="F143" s="267" t="s">
        <v>168</v>
      </c>
      <c r="G143" s="277">
        <v>6</v>
      </c>
      <c r="H143" s="268">
        <v>111.78</v>
      </c>
      <c r="I143" s="287">
        <f>1.14+5.74</f>
        <v>6.88</v>
      </c>
      <c r="J143" s="268">
        <f t="shared" si="56"/>
        <v>8.73</v>
      </c>
      <c r="K143" s="292">
        <f>H143-I143</f>
        <v>104.9</v>
      </c>
      <c r="L143" s="268">
        <f t="shared" si="151"/>
        <v>133.09</v>
      </c>
      <c r="M143" s="268">
        <f t="shared" ref="M143:M148" si="160">L143+J143</f>
        <v>141.82</v>
      </c>
      <c r="N143" s="268">
        <f t="shared" ref="N143:N148" si="161">J143*G143</f>
        <v>52.38</v>
      </c>
      <c r="O143" s="268">
        <f t="shared" ref="O143:O148" si="162">L143*G143</f>
        <v>798.54</v>
      </c>
      <c r="P143" s="268">
        <f t="shared" ref="P143:P148" si="163">O143+N143</f>
        <v>850.92</v>
      </c>
      <c r="Q143" s="269">
        <f t="shared" si="61"/>
        <v>2.9999999999999997E-4</v>
      </c>
      <c r="R143" s="44"/>
      <c r="S143" s="49">
        <f t="shared" si="62"/>
        <v>670.68</v>
      </c>
      <c r="T143" s="126"/>
      <c r="U143" s="48"/>
      <c r="V143" s="48"/>
      <c r="W143" s="48"/>
      <c r="X143" s="48"/>
      <c r="Y143" s="48"/>
      <c r="Z143" s="48"/>
      <c r="AA143" s="48"/>
      <c r="AB143" s="48"/>
      <c r="AC143" s="48"/>
      <c r="AD143" s="48"/>
      <c r="AE143" s="48"/>
      <c r="AF143" s="48"/>
      <c r="AG143" s="48"/>
      <c r="AH143" s="48"/>
      <c r="AI143" s="48"/>
      <c r="AJ143" s="44"/>
      <c r="AK143" s="44"/>
      <c r="AL143" s="44"/>
    </row>
    <row r="144" spans="1:38" x14ac:dyDescent="0.25">
      <c r="A144" s="94"/>
      <c r="B144" s="265" t="s">
        <v>821</v>
      </c>
      <c r="C144" s="266" t="s">
        <v>548</v>
      </c>
      <c r="D144" s="265" t="s">
        <v>51</v>
      </c>
      <c r="E144" s="265" t="s">
        <v>549</v>
      </c>
      <c r="F144" s="267" t="s">
        <v>55</v>
      </c>
      <c r="G144" s="277">
        <v>271.54000000000002</v>
      </c>
      <c r="H144" s="268">
        <v>65.47</v>
      </c>
      <c r="I144" s="287">
        <f>22.72+28.85</f>
        <v>51.57</v>
      </c>
      <c r="J144" s="268">
        <f t="shared" si="56"/>
        <v>65.430000000000007</v>
      </c>
      <c r="K144" s="292">
        <f>H144-I144</f>
        <v>13.9</v>
      </c>
      <c r="L144" s="268">
        <f t="shared" si="151"/>
        <v>17.63</v>
      </c>
      <c r="M144" s="268">
        <f t="shared" si="160"/>
        <v>83.06</v>
      </c>
      <c r="N144" s="268">
        <f t="shared" si="161"/>
        <v>17766.86</v>
      </c>
      <c r="O144" s="268">
        <f t="shared" si="162"/>
        <v>4787.25</v>
      </c>
      <c r="P144" s="268">
        <f t="shared" si="163"/>
        <v>22554.11</v>
      </c>
      <c r="Q144" s="269">
        <f t="shared" si="61"/>
        <v>8.8999999999999999E-3</v>
      </c>
      <c r="R144" s="44"/>
      <c r="S144" s="49">
        <f t="shared" si="62"/>
        <v>17777.72</v>
      </c>
      <c r="T144" s="126"/>
      <c r="U144" s="48"/>
      <c r="V144" s="48"/>
      <c r="W144" s="48"/>
      <c r="X144" s="48"/>
      <c r="Y144" s="48"/>
      <c r="Z144" s="48"/>
      <c r="AA144" s="48"/>
      <c r="AB144" s="48"/>
      <c r="AC144" s="48"/>
      <c r="AD144" s="48"/>
      <c r="AE144" s="48"/>
      <c r="AF144" s="48"/>
      <c r="AG144" s="48"/>
      <c r="AH144" s="48"/>
      <c r="AI144" s="48"/>
      <c r="AJ144" s="44"/>
      <c r="AK144" s="44"/>
      <c r="AL144" s="44"/>
    </row>
    <row r="145" spans="1:38" x14ac:dyDescent="0.25">
      <c r="A145" s="94"/>
      <c r="B145" s="265" t="s">
        <v>822</v>
      </c>
      <c r="C145" s="266" t="s">
        <v>826</v>
      </c>
      <c r="D145" s="265" t="s">
        <v>51</v>
      </c>
      <c r="E145" s="265" t="s">
        <v>827</v>
      </c>
      <c r="F145" s="267" t="s">
        <v>44</v>
      </c>
      <c r="G145" s="277">
        <v>4</v>
      </c>
      <c r="H145" s="268">
        <v>1762.24</v>
      </c>
      <c r="I145" s="287">
        <f>10.69+13.57</f>
        <v>24.26</v>
      </c>
      <c r="J145" s="268">
        <f t="shared" si="56"/>
        <v>30.78</v>
      </c>
      <c r="K145" s="292">
        <f>H145-I145</f>
        <v>1737.98</v>
      </c>
      <c r="L145" s="268">
        <f t="shared" si="151"/>
        <v>2204.98</v>
      </c>
      <c r="M145" s="268">
        <f t="shared" si="160"/>
        <v>2235.7600000000002</v>
      </c>
      <c r="N145" s="268">
        <f t="shared" si="161"/>
        <v>123.12</v>
      </c>
      <c r="O145" s="268">
        <f t="shared" si="162"/>
        <v>8819.92</v>
      </c>
      <c r="P145" s="268">
        <f t="shared" si="163"/>
        <v>8943.0400000000009</v>
      </c>
      <c r="Q145" s="269">
        <f t="shared" si="61"/>
        <v>3.5000000000000001E-3</v>
      </c>
      <c r="R145" s="44"/>
      <c r="S145" s="49">
        <f t="shared" si="62"/>
        <v>7048.96</v>
      </c>
      <c r="T145" s="126"/>
      <c r="U145" s="48"/>
      <c r="V145" s="48"/>
      <c r="W145" s="48"/>
      <c r="X145" s="48"/>
      <c r="Y145" s="48"/>
      <c r="Z145" s="48"/>
      <c r="AA145" s="48"/>
      <c r="AB145" s="48"/>
      <c r="AC145" s="48"/>
      <c r="AD145" s="48"/>
      <c r="AE145" s="48"/>
      <c r="AF145" s="48"/>
      <c r="AG145" s="48"/>
      <c r="AH145" s="48"/>
      <c r="AI145" s="48"/>
      <c r="AJ145" s="44"/>
      <c r="AK145" s="44"/>
      <c r="AL145" s="44"/>
    </row>
    <row r="146" spans="1:38" x14ac:dyDescent="0.25">
      <c r="A146" s="94"/>
      <c r="B146" s="265" t="s">
        <v>823</v>
      </c>
      <c r="C146" s="266" t="s">
        <v>828</v>
      </c>
      <c r="D146" s="265" t="s">
        <v>199</v>
      </c>
      <c r="E146" s="265" t="s">
        <v>829</v>
      </c>
      <c r="F146" s="267" t="s">
        <v>168</v>
      </c>
      <c r="G146" s="277">
        <v>26</v>
      </c>
      <c r="H146" s="268">
        <f t="shared" ref="H146:H147" si="164">I146+K146</f>
        <v>0</v>
      </c>
      <c r="I146" s="287"/>
      <c r="J146" s="268">
        <f t="shared" si="56"/>
        <v>0</v>
      </c>
      <c r="K146" s="292"/>
      <c r="L146" s="268">
        <f t="shared" si="151"/>
        <v>0</v>
      </c>
      <c r="M146" s="268">
        <f t="shared" si="160"/>
        <v>0</v>
      </c>
      <c r="N146" s="268">
        <f t="shared" si="161"/>
        <v>0</v>
      </c>
      <c r="O146" s="268">
        <f t="shared" si="162"/>
        <v>0</v>
      </c>
      <c r="P146" s="268">
        <f t="shared" si="163"/>
        <v>0</v>
      </c>
      <c r="Q146" s="269">
        <f t="shared" si="61"/>
        <v>0</v>
      </c>
      <c r="R146" s="44"/>
      <c r="S146" s="49">
        <f t="shared" si="62"/>
        <v>0</v>
      </c>
      <c r="T146" s="126"/>
      <c r="U146" s="48"/>
      <c r="V146" s="48"/>
      <c r="W146" s="48"/>
      <c r="X146" s="48"/>
      <c r="Y146" s="48"/>
      <c r="Z146" s="48"/>
      <c r="AA146" s="48"/>
      <c r="AB146" s="48"/>
      <c r="AC146" s="48"/>
      <c r="AD146" s="48"/>
      <c r="AE146" s="48"/>
      <c r="AF146" s="48"/>
      <c r="AG146" s="48"/>
      <c r="AH146" s="48"/>
      <c r="AI146" s="48"/>
      <c r="AJ146" s="44"/>
      <c r="AK146" s="44"/>
      <c r="AL146" s="44"/>
    </row>
    <row r="147" spans="1:38" ht="27.6" x14ac:dyDescent="0.25">
      <c r="A147" s="94"/>
      <c r="B147" s="265" t="s">
        <v>824</v>
      </c>
      <c r="C147" s="266" t="s">
        <v>546</v>
      </c>
      <c r="D147" s="265" t="s">
        <v>40</v>
      </c>
      <c r="E147" s="265" t="s">
        <v>547</v>
      </c>
      <c r="F147" s="267" t="s">
        <v>44</v>
      </c>
      <c r="G147" s="277">
        <v>46</v>
      </c>
      <c r="H147" s="268">
        <f t="shared" si="164"/>
        <v>49.95</v>
      </c>
      <c r="I147" s="287">
        <v>22.43</v>
      </c>
      <c r="J147" s="268">
        <f t="shared" si="56"/>
        <v>28.46</v>
      </c>
      <c r="K147" s="292">
        <v>27.52</v>
      </c>
      <c r="L147" s="268">
        <f t="shared" si="151"/>
        <v>34.909999999999997</v>
      </c>
      <c r="M147" s="268">
        <f t="shared" si="160"/>
        <v>63.37</v>
      </c>
      <c r="N147" s="268">
        <f t="shared" si="161"/>
        <v>1309.1600000000001</v>
      </c>
      <c r="O147" s="268">
        <f t="shared" si="162"/>
        <v>1605.86</v>
      </c>
      <c r="P147" s="268">
        <f t="shared" si="163"/>
        <v>2915.02</v>
      </c>
      <c r="Q147" s="269">
        <f t="shared" si="61"/>
        <v>1.1999999999999999E-3</v>
      </c>
      <c r="R147" s="44"/>
      <c r="S147" s="49">
        <f t="shared" si="62"/>
        <v>2297.6999999999998</v>
      </c>
      <c r="T147" s="126"/>
      <c r="U147" s="48"/>
      <c r="V147" s="48"/>
      <c r="W147" s="48"/>
      <c r="X147" s="48"/>
      <c r="Y147" s="48"/>
      <c r="Z147" s="48"/>
      <c r="AA147" s="48"/>
      <c r="AB147" s="48"/>
      <c r="AC147" s="48"/>
      <c r="AD147" s="48"/>
      <c r="AE147" s="48"/>
      <c r="AF147" s="48"/>
      <c r="AG147" s="48"/>
      <c r="AH147" s="48"/>
      <c r="AI147" s="48"/>
      <c r="AJ147" s="44"/>
      <c r="AK147" s="44"/>
      <c r="AL147" s="44"/>
    </row>
    <row r="148" spans="1:38" x14ac:dyDescent="0.25">
      <c r="A148" s="94"/>
      <c r="B148" s="265" t="s">
        <v>825</v>
      </c>
      <c r="C148" s="266" t="s">
        <v>830</v>
      </c>
      <c r="D148" s="265" t="s">
        <v>51</v>
      </c>
      <c r="E148" s="265" t="s">
        <v>831</v>
      </c>
      <c r="F148" s="267" t="s">
        <v>41</v>
      </c>
      <c r="G148" s="277">
        <v>0.45</v>
      </c>
      <c r="H148" s="268">
        <v>618.96</v>
      </c>
      <c r="I148" s="287">
        <f>42.73+64.44+35.61+28.04</f>
        <v>170.82</v>
      </c>
      <c r="J148" s="268">
        <f t="shared" si="56"/>
        <v>216.72</v>
      </c>
      <c r="K148" s="292">
        <f>H148-I148</f>
        <v>448.14</v>
      </c>
      <c r="L148" s="268">
        <f t="shared" si="151"/>
        <v>568.55999999999995</v>
      </c>
      <c r="M148" s="268">
        <f t="shared" si="160"/>
        <v>785.28</v>
      </c>
      <c r="N148" s="268">
        <f t="shared" si="161"/>
        <v>97.52</v>
      </c>
      <c r="O148" s="268">
        <f t="shared" si="162"/>
        <v>255.85</v>
      </c>
      <c r="P148" s="268">
        <f t="shared" si="163"/>
        <v>353.37</v>
      </c>
      <c r="Q148" s="269">
        <f t="shared" si="61"/>
        <v>1E-4</v>
      </c>
      <c r="R148" s="44"/>
      <c r="S148" s="49">
        <f t="shared" si="62"/>
        <v>278.52999999999997</v>
      </c>
      <c r="T148" s="126"/>
      <c r="U148" s="48"/>
      <c r="V148" s="48"/>
      <c r="W148" s="48"/>
      <c r="X148" s="48"/>
      <c r="Y148" s="48"/>
      <c r="Z148" s="48"/>
      <c r="AA148" s="48"/>
      <c r="AB148" s="48"/>
      <c r="AC148" s="48"/>
      <c r="AD148" s="48"/>
      <c r="AE148" s="48"/>
      <c r="AF148" s="48"/>
      <c r="AG148" s="48"/>
      <c r="AH148" s="48"/>
      <c r="AI148" s="48"/>
      <c r="AJ148" s="44"/>
      <c r="AK148" s="44"/>
      <c r="AL148" s="44"/>
    </row>
    <row r="149" spans="1:38" x14ac:dyDescent="0.25">
      <c r="A149" s="94"/>
      <c r="B149" s="261">
        <v>8</v>
      </c>
      <c r="C149" s="261"/>
      <c r="D149" s="261"/>
      <c r="E149" s="261" t="s">
        <v>556</v>
      </c>
      <c r="F149" s="261"/>
      <c r="G149" s="276"/>
      <c r="H149" s="262"/>
      <c r="I149" s="286"/>
      <c r="J149" s="261"/>
      <c r="K149" s="291"/>
      <c r="L149" s="261"/>
      <c r="M149" s="261"/>
      <c r="N149" s="261"/>
      <c r="O149" s="261"/>
      <c r="P149" s="263"/>
      <c r="Q149" s="263"/>
      <c r="R149" s="44"/>
      <c r="S149" s="49">
        <f t="shared" ref="S149:S212" si="165">G149*H149</f>
        <v>0</v>
      </c>
      <c r="T149" s="126"/>
      <c r="U149" s="48"/>
      <c r="V149" s="48"/>
      <c r="W149" s="48"/>
      <c r="X149" s="48"/>
      <c r="Y149" s="48"/>
      <c r="Z149" s="48"/>
      <c r="AA149" s="48"/>
      <c r="AB149" s="48"/>
      <c r="AC149" s="48"/>
      <c r="AD149" s="48"/>
      <c r="AE149" s="48"/>
      <c r="AF149" s="48"/>
      <c r="AG149" s="48"/>
      <c r="AH149" s="48"/>
      <c r="AI149" s="48"/>
      <c r="AJ149" s="44"/>
      <c r="AK149" s="44"/>
      <c r="AL149" s="44"/>
    </row>
    <row r="150" spans="1:38" x14ac:dyDescent="0.25">
      <c r="A150" s="94"/>
      <c r="B150" s="261" t="s">
        <v>205</v>
      </c>
      <c r="C150" s="261"/>
      <c r="D150" s="261"/>
      <c r="E150" s="261" t="s">
        <v>139</v>
      </c>
      <c r="F150" s="261"/>
      <c r="G150" s="276"/>
      <c r="H150" s="262"/>
      <c r="I150" s="286"/>
      <c r="J150" s="261"/>
      <c r="K150" s="291"/>
      <c r="L150" s="261"/>
      <c r="M150" s="261"/>
      <c r="N150" s="261"/>
      <c r="O150" s="261"/>
      <c r="P150" s="263"/>
      <c r="Q150" s="263"/>
      <c r="R150" s="44"/>
      <c r="S150" s="49">
        <f t="shared" si="165"/>
        <v>0</v>
      </c>
      <c r="T150" s="126"/>
      <c r="U150" s="48"/>
      <c r="V150" s="48"/>
      <c r="W150" s="48"/>
      <c r="X150" s="48"/>
      <c r="Y150" s="48"/>
      <c r="Z150" s="48"/>
      <c r="AA150" s="48"/>
      <c r="AB150" s="48"/>
      <c r="AC150" s="48"/>
      <c r="AD150" s="48"/>
      <c r="AE150" s="48"/>
      <c r="AF150" s="48"/>
      <c r="AG150" s="48"/>
      <c r="AH150" s="48"/>
      <c r="AI150" s="48"/>
      <c r="AJ150" s="44"/>
      <c r="AK150" s="44"/>
      <c r="AL150" s="44"/>
    </row>
    <row r="151" spans="1:38" ht="41.4" x14ac:dyDescent="0.25">
      <c r="A151" s="94"/>
      <c r="B151" s="265" t="s">
        <v>557</v>
      </c>
      <c r="C151" s="266" t="s">
        <v>141</v>
      </c>
      <c r="D151" s="265" t="s">
        <v>40</v>
      </c>
      <c r="E151" s="265" t="s">
        <v>142</v>
      </c>
      <c r="F151" s="267" t="s">
        <v>41</v>
      </c>
      <c r="G151" s="277">
        <v>2042.32</v>
      </c>
      <c r="H151" s="268">
        <f t="shared" ref="H151:H155" si="166">I151+K151</f>
        <v>7.03</v>
      </c>
      <c r="I151" s="287">
        <v>4.3</v>
      </c>
      <c r="J151" s="268">
        <f t="shared" ref="J151:J212" si="167">I151*(1+$M$9)</f>
        <v>5.46</v>
      </c>
      <c r="K151" s="292">
        <v>2.73</v>
      </c>
      <c r="L151" s="268">
        <f t="shared" ref="L151:L155" si="168">K151*(1+$M$9)</f>
        <v>3.46</v>
      </c>
      <c r="M151" s="268">
        <f t="shared" ref="M151" si="169">L151+J151</f>
        <v>8.92</v>
      </c>
      <c r="N151" s="268">
        <f t="shared" ref="N151" si="170">J151*G151</f>
        <v>11151.07</v>
      </c>
      <c r="O151" s="268">
        <f t="shared" ref="O151" si="171">L151*G151</f>
        <v>7066.43</v>
      </c>
      <c r="P151" s="268">
        <f t="shared" ref="P151" si="172">O151+N151</f>
        <v>18217.5</v>
      </c>
      <c r="Q151" s="269">
        <f t="shared" ref="Q151:Q212" si="173">P151/$O$485</f>
        <v>7.1999999999999998E-3</v>
      </c>
      <c r="R151" s="44"/>
      <c r="S151" s="49">
        <f t="shared" si="165"/>
        <v>14357.51</v>
      </c>
      <c r="T151" s="126"/>
      <c r="U151" s="48"/>
      <c r="V151" s="48"/>
      <c r="W151" s="48"/>
      <c r="X151" s="48"/>
      <c r="Y151" s="48"/>
      <c r="Z151" s="48"/>
      <c r="AA151" s="48"/>
      <c r="AB151" s="48"/>
      <c r="AC151" s="48"/>
      <c r="AD151" s="48"/>
      <c r="AE151" s="48"/>
      <c r="AF151" s="48"/>
      <c r="AG151" s="48"/>
      <c r="AH151" s="48"/>
      <c r="AI151" s="48"/>
      <c r="AJ151" s="44"/>
      <c r="AK151" s="44"/>
      <c r="AL151" s="44"/>
    </row>
    <row r="152" spans="1:38" ht="27.6" x14ac:dyDescent="0.25">
      <c r="A152" s="94"/>
      <c r="B152" s="265" t="s">
        <v>558</v>
      </c>
      <c r="C152" s="266">
        <v>104958</v>
      </c>
      <c r="D152" s="265" t="s">
        <v>40</v>
      </c>
      <c r="E152" s="265" t="s">
        <v>1185</v>
      </c>
      <c r="F152" s="267" t="s">
        <v>41</v>
      </c>
      <c r="G152" s="277">
        <v>1957.38</v>
      </c>
      <c r="H152" s="268">
        <f t="shared" si="166"/>
        <v>22.27</v>
      </c>
      <c r="I152" s="287">
        <v>9.06</v>
      </c>
      <c r="J152" s="268">
        <f t="shared" si="167"/>
        <v>11.49</v>
      </c>
      <c r="K152" s="292">
        <f>0.02+13.17+0.02</f>
        <v>13.21</v>
      </c>
      <c r="L152" s="268">
        <f t="shared" si="168"/>
        <v>16.760000000000002</v>
      </c>
      <c r="M152" s="268">
        <f t="shared" ref="M152:M153" si="174">L152+J152</f>
        <v>28.25</v>
      </c>
      <c r="N152" s="268">
        <f t="shared" ref="N152:N153" si="175">J152*G152</f>
        <v>22490.3</v>
      </c>
      <c r="O152" s="268">
        <f t="shared" ref="O152:O153" si="176">L152*G152</f>
        <v>32805.69</v>
      </c>
      <c r="P152" s="268">
        <f t="shared" ref="P152:P153" si="177">O152+N152</f>
        <v>55295.99</v>
      </c>
      <c r="Q152" s="269">
        <f t="shared" si="173"/>
        <v>2.1899999999999999E-2</v>
      </c>
      <c r="R152" s="44"/>
      <c r="S152" s="49">
        <f t="shared" si="165"/>
        <v>43590.85</v>
      </c>
      <c r="T152" s="126"/>
      <c r="U152" s="48"/>
      <c r="V152" s="48"/>
      <c r="W152" s="48"/>
      <c r="X152" s="48"/>
      <c r="Y152" s="48"/>
      <c r="Z152" s="48"/>
      <c r="AA152" s="48"/>
      <c r="AB152" s="48"/>
      <c r="AC152" s="48"/>
      <c r="AD152" s="48"/>
      <c r="AE152" s="48"/>
      <c r="AF152" s="48"/>
      <c r="AG152" s="48"/>
      <c r="AH152" s="48"/>
      <c r="AI152" s="48"/>
      <c r="AJ152" s="44"/>
      <c r="AK152" s="44"/>
      <c r="AL152" s="44"/>
    </row>
    <row r="153" spans="1:38" ht="27.6" x14ac:dyDescent="0.25">
      <c r="A153" s="94"/>
      <c r="B153" s="265" t="s">
        <v>559</v>
      </c>
      <c r="C153" s="266" t="s">
        <v>1186</v>
      </c>
      <c r="D153" s="265" t="s">
        <v>40</v>
      </c>
      <c r="E153" s="265" t="s">
        <v>1187</v>
      </c>
      <c r="F153" s="267" t="s">
        <v>41</v>
      </c>
      <c r="G153" s="277">
        <v>84.9</v>
      </c>
      <c r="H153" s="268">
        <f t="shared" si="166"/>
        <v>21.72</v>
      </c>
      <c r="I153" s="287">
        <v>8.6300000000000008</v>
      </c>
      <c r="J153" s="268">
        <f t="shared" si="167"/>
        <v>10.95</v>
      </c>
      <c r="K153" s="292">
        <f>0.02+13.05+0.02</f>
        <v>13.09</v>
      </c>
      <c r="L153" s="268">
        <f t="shared" si="168"/>
        <v>16.61</v>
      </c>
      <c r="M153" s="268">
        <f t="shared" si="174"/>
        <v>27.56</v>
      </c>
      <c r="N153" s="268">
        <f t="shared" si="175"/>
        <v>929.66</v>
      </c>
      <c r="O153" s="268">
        <f t="shared" si="176"/>
        <v>1410.19</v>
      </c>
      <c r="P153" s="268">
        <f t="shared" si="177"/>
        <v>2339.85</v>
      </c>
      <c r="Q153" s="269">
        <f t="shared" si="173"/>
        <v>8.9999999999999998E-4</v>
      </c>
      <c r="R153" s="44"/>
      <c r="S153" s="49">
        <f t="shared" si="165"/>
        <v>1844.03</v>
      </c>
      <c r="T153" s="126"/>
      <c r="U153" s="48"/>
      <c r="V153" s="48"/>
      <c r="W153" s="48"/>
      <c r="X153" s="48"/>
      <c r="Y153" s="48"/>
      <c r="Z153" s="48"/>
      <c r="AA153" s="48"/>
      <c r="AB153" s="48"/>
      <c r="AC153" s="48"/>
      <c r="AD153" s="48"/>
      <c r="AE153" s="48"/>
      <c r="AF153" s="48"/>
      <c r="AG153" s="48"/>
      <c r="AH153" s="48"/>
      <c r="AI153" s="48"/>
      <c r="AJ153" s="44"/>
      <c r="AK153" s="44"/>
      <c r="AL153" s="44"/>
    </row>
    <row r="154" spans="1:38" x14ac:dyDescent="0.25">
      <c r="A154" s="94"/>
      <c r="B154" s="261" t="s">
        <v>206</v>
      </c>
      <c r="C154" s="261"/>
      <c r="D154" s="261"/>
      <c r="E154" s="261" t="s">
        <v>560</v>
      </c>
      <c r="F154" s="261"/>
      <c r="G154" s="276"/>
      <c r="H154" s="262"/>
      <c r="I154" s="286"/>
      <c r="J154" s="261"/>
      <c r="K154" s="291"/>
      <c r="L154" s="261"/>
      <c r="M154" s="261"/>
      <c r="N154" s="261"/>
      <c r="O154" s="261"/>
      <c r="P154" s="263"/>
      <c r="Q154" s="263"/>
      <c r="R154" s="44"/>
      <c r="S154" s="49">
        <f t="shared" si="165"/>
        <v>0</v>
      </c>
      <c r="T154" s="126"/>
      <c r="U154" s="48"/>
      <c r="V154" s="48"/>
      <c r="W154" s="48"/>
      <c r="X154" s="48"/>
      <c r="Y154" s="48"/>
      <c r="Z154" s="48"/>
      <c r="AA154" s="48"/>
      <c r="AB154" s="48"/>
      <c r="AC154" s="48"/>
      <c r="AD154" s="48"/>
      <c r="AE154" s="48"/>
      <c r="AF154" s="48"/>
      <c r="AG154" s="48"/>
      <c r="AH154" s="48"/>
      <c r="AI154" s="48"/>
      <c r="AJ154" s="44"/>
      <c r="AK154" s="44"/>
      <c r="AL154" s="44"/>
    </row>
    <row r="155" spans="1:38" ht="27.6" x14ac:dyDescent="0.25">
      <c r="A155" s="94"/>
      <c r="B155" s="265" t="s">
        <v>561</v>
      </c>
      <c r="C155" s="266">
        <v>104611</v>
      </c>
      <c r="D155" s="265" t="s">
        <v>40</v>
      </c>
      <c r="E155" s="265" t="s">
        <v>1021</v>
      </c>
      <c r="F155" s="267" t="s">
        <v>41</v>
      </c>
      <c r="G155" s="277">
        <v>211.41</v>
      </c>
      <c r="H155" s="268">
        <f t="shared" si="166"/>
        <v>90.52</v>
      </c>
      <c r="I155" s="287">
        <v>18.149999999999999</v>
      </c>
      <c r="J155" s="268">
        <f t="shared" si="167"/>
        <v>23.03</v>
      </c>
      <c r="K155" s="292">
        <v>72.37</v>
      </c>
      <c r="L155" s="268">
        <f t="shared" si="168"/>
        <v>91.82</v>
      </c>
      <c r="M155" s="268">
        <f t="shared" ref="M155" si="178">L155+J155</f>
        <v>114.85</v>
      </c>
      <c r="N155" s="268">
        <f t="shared" ref="N155" si="179">J155*G155</f>
        <v>4868.7700000000004</v>
      </c>
      <c r="O155" s="268">
        <f t="shared" ref="O155" si="180">L155*G155</f>
        <v>19411.669999999998</v>
      </c>
      <c r="P155" s="268">
        <f t="shared" ref="P155" si="181">O155+N155</f>
        <v>24280.44</v>
      </c>
      <c r="Q155" s="269">
        <f t="shared" si="173"/>
        <v>9.5999999999999992E-3</v>
      </c>
      <c r="R155" s="44"/>
      <c r="S155" s="49">
        <f t="shared" si="165"/>
        <v>19136.830000000002</v>
      </c>
      <c r="T155" s="126"/>
      <c r="U155" s="48"/>
      <c r="V155" s="48"/>
      <c r="W155" s="48"/>
      <c r="X155" s="48"/>
      <c r="Y155" s="48"/>
      <c r="Z155" s="48"/>
      <c r="AA155" s="48"/>
      <c r="AB155" s="48"/>
      <c r="AC155" s="48"/>
      <c r="AD155" s="48"/>
      <c r="AE155" s="48"/>
      <c r="AF155" s="48"/>
      <c r="AG155" s="48"/>
      <c r="AH155" s="48"/>
      <c r="AI155" s="48"/>
      <c r="AJ155" s="44"/>
      <c r="AK155" s="44"/>
      <c r="AL155" s="44"/>
    </row>
    <row r="156" spans="1:38" x14ac:dyDescent="0.25">
      <c r="A156" s="94"/>
      <c r="B156" s="261">
        <v>9</v>
      </c>
      <c r="C156" s="261"/>
      <c r="D156" s="261"/>
      <c r="E156" s="261" t="s">
        <v>562</v>
      </c>
      <c r="F156" s="261"/>
      <c r="G156" s="276"/>
      <c r="H156" s="262"/>
      <c r="I156" s="286"/>
      <c r="J156" s="261"/>
      <c r="K156" s="291"/>
      <c r="L156" s="261"/>
      <c r="M156" s="261"/>
      <c r="N156" s="261"/>
      <c r="O156" s="261"/>
      <c r="P156" s="263"/>
      <c r="Q156" s="263"/>
      <c r="R156" s="44"/>
      <c r="S156" s="49">
        <f t="shared" si="165"/>
        <v>0</v>
      </c>
      <c r="T156" s="126"/>
      <c r="U156" s="48"/>
      <c r="V156" s="48"/>
      <c r="W156" s="48"/>
      <c r="X156" s="48"/>
      <c r="Y156" s="48"/>
      <c r="Z156" s="48"/>
      <c r="AA156" s="48"/>
      <c r="AB156" s="48"/>
      <c r="AC156" s="48"/>
      <c r="AD156" s="48"/>
      <c r="AE156" s="48"/>
      <c r="AF156" s="48"/>
      <c r="AG156" s="48"/>
      <c r="AH156" s="48"/>
      <c r="AI156" s="48"/>
      <c r="AJ156" s="44"/>
      <c r="AK156" s="44"/>
      <c r="AL156" s="44"/>
    </row>
    <row r="157" spans="1:38" x14ac:dyDescent="0.25">
      <c r="A157" s="94"/>
      <c r="B157" s="261" t="s">
        <v>230</v>
      </c>
      <c r="C157" s="261"/>
      <c r="D157" s="261"/>
      <c r="E157" s="261" t="s">
        <v>139</v>
      </c>
      <c r="F157" s="261"/>
      <c r="G157" s="276"/>
      <c r="H157" s="262"/>
      <c r="I157" s="286"/>
      <c r="J157" s="261"/>
      <c r="K157" s="291"/>
      <c r="L157" s="261"/>
      <c r="M157" s="261"/>
      <c r="N157" s="261"/>
      <c r="O157" s="261"/>
      <c r="P157" s="263"/>
      <c r="Q157" s="263"/>
      <c r="R157" s="44"/>
      <c r="S157" s="49">
        <f t="shared" si="165"/>
        <v>0</v>
      </c>
      <c r="T157" s="126"/>
      <c r="U157" s="48"/>
      <c r="V157" s="48"/>
      <c r="W157" s="48"/>
      <c r="X157" s="48"/>
      <c r="Y157" s="48"/>
      <c r="Z157" s="48"/>
      <c r="AA157" s="48"/>
      <c r="AB157" s="48"/>
      <c r="AC157" s="48"/>
      <c r="AD157" s="48"/>
      <c r="AE157" s="48"/>
      <c r="AF157" s="48"/>
      <c r="AG157" s="48"/>
      <c r="AH157" s="48"/>
      <c r="AI157" s="48"/>
      <c r="AJ157" s="44"/>
      <c r="AK157" s="44"/>
      <c r="AL157" s="44"/>
    </row>
    <row r="158" spans="1:38" ht="27.6" x14ac:dyDescent="0.25">
      <c r="A158" s="94"/>
      <c r="B158" s="265" t="s">
        <v>563</v>
      </c>
      <c r="C158" s="266" t="s">
        <v>564</v>
      </c>
      <c r="D158" s="265" t="s">
        <v>40</v>
      </c>
      <c r="E158" s="265" t="s">
        <v>565</v>
      </c>
      <c r="F158" s="267" t="s">
        <v>41</v>
      </c>
      <c r="G158" s="277">
        <v>434.27</v>
      </c>
      <c r="H158" s="268">
        <f t="shared" ref="H158" si="182">I158+K158</f>
        <v>85.11</v>
      </c>
      <c r="I158" s="287">
        <v>7.01</v>
      </c>
      <c r="J158" s="268">
        <f t="shared" si="167"/>
        <v>8.89</v>
      </c>
      <c r="K158" s="292">
        <v>78.099999999999994</v>
      </c>
      <c r="L158" s="268">
        <f t="shared" ref="L158:L164" si="183">K158*(1+$M$9)</f>
        <v>99.09</v>
      </c>
      <c r="M158" s="268">
        <f t="shared" ref="M158" si="184">L158+J158</f>
        <v>107.98</v>
      </c>
      <c r="N158" s="268">
        <f t="shared" ref="N158" si="185">J158*G158</f>
        <v>3860.66</v>
      </c>
      <c r="O158" s="268">
        <f t="shared" ref="O158" si="186">L158*G158</f>
        <v>43031.81</v>
      </c>
      <c r="P158" s="268">
        <f t="shared" ref="P158" si="187">O158+N158</f>
        <v>46892.47</v>
      </c>
      <c r="Q158" s="269">
        <f t="shared" si="173"/>
        <v>1.8499999999999999E-2</v>
      </c>
      <c r="R158" s="44"/>
      <c r="S158" s="49">
        <f t="shared" si="165"/>
        <v>36960.720000000001</v>
      </c>
      <c r="T158" s="126"/>
      <c r="U158" s="48"/>
      <c r="V158" s="48"/>
      <c r="W158" s="48"/>
      <c r="X158" s="48"/>
      <c r="Y158" s="48"/>
      <c r="Z158" s="48"/>
      <c r="AA158" s="48"/>
      <c r="AB158" s="48"/>
      <c r="AC158" s="48"/>
      <c r="AD158" s="48"/>
      <c r="AE158" s="48"/>
      <c r="AF158" s="48"/>
      <c r="AG158" s="48"/>
      <c r="AH158" s="48"/>
      <c r="AI158" s="48"/>
      <c r="AJ158" s="44"/>
      <c r="AK158" s="44"/>
      <c r="AL158" s="44"/>
    </row>
    <row r="159" spans="1:38" x14ac:dyDescent="0.25">
      <c r="A159" s="94"/>
      <c r="B159" s="265" t="s">
        <v>566</v>
      </c>
      <c r="C159" s="266" t="s">
        <v>145</v>
      </c>
      <c r="D159" s="265" t="s">
        <v>146</v>
      </c>
      <c r="E159" s="265" t="s">
        <v>147</v>
      </c>
      <c r="F159" s="267" t="s">
        <v>41</v>
      </c>
      <c r="G159" s="277">
        <v>434.27</v>
      </c>
      <c r="H159" s="268">
        <v>26.29</v>
      </c>
      <c r="I159" s="287">
        <f>1.52+1.56+7.65+5.46</f>
        <v>16.190000000000001</v>
      </c>
      <c r="J159" s="268">
        <f t="shared" si="167"/>
        <v>20.54</v>
      </c>
      <c r="K159" s="292">
        <f>H159-I159</f>
        <v>10.1</v>
      </c>
      <c r="L159" s="268">
        <f t="shared" si="183"/>
        <v>12.81</v>
      </c>
      <c r="M159" s="268">
        <f t="shared" ref="M159" si="188">L159+J159</f>
        <v>33.35</v>
      </c>
      <c r="N159" s="268">
        <f t="shared" ref="N159" si="189">J159*G159</f>
        <v>8919.91</v>
      </c>
      <c r="O159" s="268">
        <f t="shared" ref="O159" si="190">L159*G159</f>
        <v>5563</v>
      </c>
      <c r="P159" s="268">
        <f t="shared" ref="P159" si="191">O159+N159</f>
        <v>14482.91</v>
      </c>
      <c r="Q159" s="269">
        <f t="shared" si="173"/>
        <v>5.7000000000000002E-3</v>
      </c>
      <c r="R159" s="44"/>
      <c r="S159" s="49">
        <f t="shared" si="165"/>
        <v>11416.96</v>
      </c>
      <c r="T159" s="85"/>
      <c r="U159" s="48"/>
      <c r="V159" s="48"/>
      <c r="W159" s="48"/>
      <c r="X159" s="48"/>
      <c r="Y159" s="48"/>
      <c r="Z159" s="48"/>
      <c r="AA159" s="48"/>
      <c r="AB159" s="48"/>
      <c r="AC159" s="48"/>
      <c r="AD159" s="48"/>
      <c r="AE159" s="48"/>
      <c r="AF159" s="48"/>
      <c r="AG159" s="48"/>
      <c r="AH159" s="48"/>
      <c r="AI159" s="48"/>
      <c r="AJ159" s="44"/>
      <c r="AK159" s="44"/>
      <c r="AL159" s="44"/>
    </row>
    <row r="160" spans="1:38" x14ac:dyDescent="0.25">
      <c r="A160" s="94"/>
      <c r="B160" s="261" t="s">
        <v>233</v>
      </c>
      <c r="C160" s="261"/>
      <c r="D160" s="261"/>
      <c r="E160" s="261" t="s">
        <v>567</v>
      </c>
      <c r="F160" s="261"/>
      <c r="G160" s="276"/>
      <c r="H160" s="262"/>
      <c r="I160" s="286"/>
      <c r="J160" s="261"/>
      <c r="K160" s="291"/>
      <c r="L160" s="261"/>
      <c r="M160" s="261"/>
      <c r="N160" s="261"/>
      <c r="O160" s="261"/>
      <c r="P160" s="263"/>
      <c r="Q160" s="263"/>
      <c r="R160" s="44"/>
      <c r="S160" s="49">
        <f t="shared" si="165"/>
        <v>0</v>
      </c>
      <c r="T160" s="85"/>
      <c r="U160" s="48"/>
      <c r="V160" s="48"/>
      <c r="W160" s="48"/>
      <c r="X160" s="48"/>
      <c r="Y160" s="48"/>
      <c r="Z160" s="48"/>
      <c r="AA160" s="48"/>
      <c r="AB160" s="48"/>
      <c r="AC160" s="48"/>
      <c r="AD160" s="48"/>
      <c r="AE160" s="48"/>
      <c r="AF160" s="48"/>
      <c r="AG160" s="48"/>
      <c r="AH160" s="48"/>
      <c r="AI160" s="48"/>
      <c r="AJ160" s="44"/>
      <c r="AK160" s="44"/>
      <c r="AL160" s="44"/>
    </row>
    <row r="161" spans="1:38" x14ac:dyDescent="0.25">
      <c r="A161" s="94"/>
      <c r="B161" s="265" t="s">
        <v>568</v>
      </c>
      <c r="C161" s="266" t="s">
        <v>236</v>
      </c>
      <c r="D161" s="265" t="s">
        <v>146</v>
      </c>
      <c r="E161" s="265" t="s">
        <v>237</v>
      </c>
      <c r="F161" s="267" t="s">
        <v>41</v>
      </c>
      <c r="G161" s="277">
        <v>366.29</v>
      </c>
      <c r="H161" s="268">
        <v>77.599999999999994</v>
      </c>
      <c r="I161" s="287">
        <v>0</v>
      </c>
      <c r="J161" s="268">
        <f t="shared" si="167"/>
        <v>0</v>
      </c>
      <c r="K161" s="292">
        <f>H161</f>
        <v>77.599999999999994</v>
      </c>
      <c r="L161" s="268">
        <f t="shared" si="183"/>
        <v>98.45</v>
      </c>
      <c r="M161" s="268">
        <f t="shared" ref="M161" si="192">L161+J161</f>
        <v>98.45</v>
      </c>
      <c r="N161" s="268">
        <f t="shared" ref="N161" si="193">J161*G161</f>
        <v>0</v>
      </c>
      <c r="O161" s="268">
        <f t="shared" ref="O161" si="194">L161*G161</f>
        <v>36061.25</v>
      </c>
      <c r="P161" s="268">
        <f t="shared" ref="P161" si="195">O161+N161</f>
        <v>36061.25</v>
      </c>
      <c r="Q161" s="269">
        <f t="shared" si="173"/>
        <v>1.43E-2</v>
      </c>
      <c r="R161" s="44"/>
      <c r="S161" s="49">
        <f t="shared" si="165"/>
        <v>28424.1</v>
      </c>
      <c r="T161" s="85"/>
      <c r="U161" s="48"/>
      <c r="V161" s="48"/>
      <c r="W161" s="48"/>
      <c r="X161" s="48"/>
      <c r="Y161" s="48"/>
      <c r="Z161" s="48"/>
      <c r="AA161" s="48"/>
      <c r="AB161" s="48"/>
      <c r="AC161" s="48"/>
      <c r="AD161" s="48"/>
      <c r="AE161" s="48"/>
      <c r="AF161" s="48"/>
      <c r="AG161" s="48"/>
      <c r="AH161" s="48"/>
      <c r="AI161" s="48"/>
      <c r="AJ161" s="44"/>
      <c r="AK161" s="44"/>
      <c r="AL161" s="44"/>
    </row>
    <row r="162" spans="1:38" ht="27.6" x14ac:dyDescent="0.25">
      <c r="A162" s="94"/>
      <c r="B162" s="265" t="s">
        <v>1640</v>
      </c>
      <c r="C162" s="266" t="s">
        <v>1641</v>
      </c>
      <c r="D162" s="265" t="s">
        <v>146</v>
      </c>
      <c r="E162" s="265" t="s">
        <v>1642</v>
      </c>
      <c r="F162" s="267" t="s">
        <v>41</v>
      </c>
      <c r="G162" s="277">
        <v>67.98</v>
      </c>
      <c r="H162" s="268">
        <v>42.3</v>
      </c>
      <c r="I162" s="287">
        <v>0</v>
      </c>
      <c r="J162" s="268">
        <f t="shared" si="167"/>
        <v>0</v>
      </c>
      <c r="K162" s="292">
        <f>H162</f>
        <v>42.3</v>
      </c>
      <c r="L162" s="268">
        <f t="shared" si="183"/>
        <v>53.67</v>
      </c>
      <c r="M162" s="268">
        <f t="shared" ref="M162" si="196">L162+J162</f>
        <v>53.67</v>
      </c>
      <c r="N162" s="268">
        <f t="shared" ref="N162" si="197">J162*G162</f>
        <v>0</v>
      </c>
      <c r="O162" s="268">
        <f t="shared" ref="O162" si="198">L162*G162</f>
        <v>3648.49</v>
      </c>
      <c r="P162" s="268">
        <f t="shared" ref="P162" si="199">O162+N162</f>
        <v>3648.49</v>
      </c>
      <c r="Q162" s="269">
        <f t="shared" si="173"/>
        <v>1.4E-3</v>
      </c>
      <c r="R162" s="44"/>
      <c r="S162" s="49">
        <f t="shared" si="165"/>
        <v>2875.55</v>
      </c>
      <c r="T162" s="85"/>
      <c r="U162" s="48"/>
      <c r="V162" s="48"/>
      <c r="W162" s="48"/>
      <c r="X162" s="48"/>
      <c r="Y162" s="48"/>
      <c r="Z162" s="48"/>
      <c r="AA162" s="48"/>
      <c r="AB162" s="48"/>
      <c r="AC162" s="48"/>
      <c r="AD162" s="48"/>
      <c r="AE162" s="48"/>
      <c r="AF162" s="48"/>
      <c r="AG162" s="48"/>
      <c r="AH162" s="48"/>
      <c r="AI162" s="48"/>
      <c r="AJ162" s="44"/>
      <c r="AK162" s="44"/>
      <c r="AL162" s="44"/>
    </row>
    <row r="163" spans="1:38" x14ac:dyDescent="0.25">
      <c r="A163" s="94"/>
      <c r="B163" s="261" t="s">
        <v>234</v>
      </c>
      <c r="C163" s="261"/>
      <c r="D163" s="261"/>
      <c r="E163" s="261" t="s">
        <v>570</v>
      </c>
      <c r="F163" s="261"/>
      <c r="G163" s="276"/>
      <c r="H163" s="262"/>
      <c r="I163" s="286"/>
      <c r="J163" s="261"/>
      <c r="K163" s="291"/>
      <c r="L163" s="261"/>
      <c r="M163" s="261"/>
      <c r="N163" s="261"/>
      <c r="O163" s="261"/>
      <c r="P163" s="263"/>
      <c r="Q163" s="263"/>
      <c r="R163" s="44"/>
      <c r="S163" s="49">
        <f t="shared" si="165"/>
        <v>0</v>
      </c>
      <c r="T163" s="85"/>
      <c r="U163" s="48"/>
      <c r="V163" s="48"/>
      <c r="W163" s="48"/>
      <c r="X163" s="48"/>
      <c r="Y163" s="48"/>
      <c r="Z163" s="48"/>
      <c r="AA163" s="48"/>
      <c r="AB163" s="48"/>
      <c r="AC163" s="48"/>
      <c r="AD163" s="48"/>
      <c r="AE163" s="48"/>
      <c r="AF163" s="48"/>
      <c r="AG163" s="48"/>
      <c r="AH163" s="48"/>
      <c r="AI163" s="48"/>
      <c r="AJ163" s="44"/>
      <c r="AK163" s="44"/>
      <c r="AL163" s="44"/>
    </row>
    <row r="164" spans="1:38" x14ac:dyDescent="0.25">
      <c r="A164" s="94"/>
      <c r="B164" s="265" t="s">
        <v>569</v>
      </c>
      <c r="C164" s="266" t="s">
        <v>238</v>
      </c>
      <c r="D164" s="265" t="s">
        <v>146</v>
      </c>
      <c r="E164" s="265" t="s">
        <v>239</v>
      </c>
      <c r="F164" s="267" t="s">
        <v>240</v>
      </c>
      <c r="G164" s="277">
        <v>371.25</v>
      </c>
      <c r="H164" s="268">
        <v>20.36</v>
      </c>
      <c r="I164" s="287">
        <v>0</v>
      </c>
      <c r="J164" s="268">
        <f t="shared" si="167"/>
        <v>0</v>
      </c>
      <c r="K164" s="292">
        <f>H164</f>
        <v>20.36</v>
      </c>
      <c r="L164" s="268">
        <f t="shared" si="183"/>
        <v>25.83</v>
      </c>
      <c r="M164" s="268">
        <f t="shared" ref="M164" si="200">L164+J164</f>
        <v>25.83</v>
      </c>
      <c r="N164" s="268">
        <f t="shared" ref="N164" si="201">J164*G164</f>
        <v>0</v>
      </c>
      <c r="O164" s="268">
        <f t="shared" ref="O164" si="202">L164*G164</f>
        <v>9589.39</v>
      </c>
      <c r="P164" s="268">
        <f t="shared" ref="P164" si="203">O164+N164</f>
        <v>9589.39</v>
      </c>
      <c r="Q164" s="269">
        <f t="shared" si="173"/>
        <v>3.8E-3</v>
      </c>
      <c r="R164" s="44"/>
      <c r="S164" s="49">
        <f t="shared" si="165"/>
        <v>7558.65</v>
      </c>
      <c r="T164" s="85"/>
      <c r="U164" s="48"/>
      <c r="V164" s="48"/>
      <c r="W164" s="48"/>
      <c r="X164" s="48"/>
      <c r="Y164" s="48"/>
      <c r="Z164" s="48"/>
      <c r="AA164" s="48"/>
      <c r="AB164" s="48"/>
      <c r="AC164" s="48"/>
      <c r="AD164" s="48"/>
      <c r="AE164" s="48"/>
      <c r="AF164" s="48"/>
      <c r="AG164" s="48"/>
      <c r="AH164" s="48"/>
      <c r="AI164" s="48"/>
      <c r="AJ164" s="44"/>
      <c r="AK164" s="44"/>
      <c r="AL164" s="44"/>
    </row>
    <row r="165" spans="1:38" x14ac:dyDescent="0.25">
      <c r="A165" s="94"/>
      <c r="B165" s="261">
        <v>10</v>
      </c>
      <c r="C165" s="261"/>
      <c r="D165" s="261"/>
      <c r="E165" s="261" t="s">
        <v>571</v>
      </c>
      <c r="F165" s="261"/>
      <c r="G165" s="276"/>
      <c r="H165" s="262"/>
      <c r="I165" s="286"/>
      <c r="J165" s="261"/>
      <c r="K165" s="291"/>
      <c r="L165" s="261"/>
      <c r="M165" s="261"/>
      <c r="N165" s="261"/>
      <c r="O165" s="261"/>
      <c r="P165" s="263"/>
      <c r="Q165" s="263"/>
      <c r="R165" s="44"/>
      <c r="S165" s="49">
        <f t="shared" si="165"/>
        <v>0</v>
      </c>
      <c r="T165" s="85"/>
      <c r="U165" s="48"/>
      <c r="V165" s="48"/>
      <c r="W165" s="48"/>
      <c r="X165" s="48"/>
      <c r="Y165" s="48"/>
      <c r="Z165" s="48"/>
      <c r="AA165" s="48"/>
      <c r="AB165" s="48"/>
      <c r="AC165" s="48"/>
      <c r="AD165" s="48"/>
      <c r="AE165" s="48"/>
      <c r="AF165" s="48"/>
      <c r="AG165" s="48"/>
      <c r="AH165" s="48"/>
      <c r="AI165" s="48"/>
      <c r="AJ165" s="44"/>
      <c r="AK165" s="44"/>
      <c r="AL165" s="44"/>
    </row>
    <row r="166" spans="1:38" x14ac:dyDescent="0.25">
      <c r="A166" s="94"/>
      <c r="B166" s="261" t="s">
        <v>235</v>
      </c>
      <c r="C166" s="261"/>
      <c r="D166" s="261"/>
      <c r="E166" s="261" t="s">
        <v>139</v>
      </c>
      <c r="F166" s="261"/>
      <c r="G166" s="276"/>
      <c r="H166" s="262"/>
      <c r="I166" s="286"/>
      <c r="J166" s="261"/>
      <c r="K166" s="291"/>
      <c r="L166" s="261"/>
      <c r="M166" s="261"/>
      <c r="N166" s="261"/>
      <c r="O166" s="261"/>
      <c r="P166" s="263"/>
      <c r="Q166" s="263"/>
      <c r="R166" s="44"/>
      <c r="S166" s="49">
        <f t="shared" si="165"/>
        <v>0</v>
      </c>
      <c r="T166" s="85"/>
      <c r="U166" s="48"/>
      <c r="V166" s="48"/>
      <c r="W166" s="48"/>
      <c r="X166" s="48"/>
      <c r="Y166" s="48"/>
      <c r="Z166" s="48"/>
      <c r="AA166" s="48"/>
      <c r="AB166" s="48"/>
      <c r="AC166" s="48"/>
      <c r="AD166" s="48"/>
      <c r="AE166" s="48"/>
      <c r="AF166" s="48"/>
      <c r="AG166" s="48"/>
      <c r="AH166" s="48"/>
      <c r="AI166" s="48"/>
      <c r="AJ166" s="44"/>
      <c r="AK166" s="44"/>
      <c r="AL166" s="44"/>
    </row>
    <row r="167" spans="1:38" ht="27.6" x14ac:dyDescent="0.25">
      <c r="A167" s="94"/>
      <c r="B167" s="265" t="s">
        <v>890</v>
      </c>
      <c r="C167" s="266" t="s">
        <v>1637</v>
      </c>
      <c r="D167" s="265" t="s">
        <v>40</v>
      </c>
      <c r="E167" s="265" t="s">
        <v>1638</v>
      </c>
      <c r="F167" s="267" t="s">
        <v>59</v>
      </c>
      <c r="G167" s="277">
        <v>57.9</v>
      </c>
      <c r="H167" s="268">
        <f t="shared" ref="H167" si="204">I167+K167</f>
        <v>678.68</v>
      </c>
      <c r="I167" s="287">
        <v>57.51</v>
      </c>
      <c r="J167" s="268">
        <f t="shared" si="167"/>
        <v>72.959999999999994</v>
      </c>
      <c r="K167" s="292">
        <v>621.16999999999996</v>
      </c>
      <c r="L167" s="268">
        <f t="shared" ref="L167" si="205">K167*(1+$M$9)</f>
        <v>788.08</v>
      </c>
      <c r="M167" s="268">
        <f t="shared" ref="M167" si="206">L167+J167</f>
        <v>861.04</v>
      </c>
      <c r="N167" s="268">
        <f t="shared" ref="N167" si="207">J167*G167</f>
        <v>4224.38</v>
      </c>
      <c r="O167" s="268">
        <f t="shared" ref="O167" si="208">L167*G167</f>
        <v>45629.83</v>
      </c>
      <c r="P167" s="268">
        <f t="shared" ref="P167" si="209">O167+N167</f>
        <v>49854.21</v>
      </c>
      <c r="Q167" s="269">
        <f t="shared" si="173"/>
        <v>1.9699999999999999E-2</v>
      </c>
      <c r="R167" s="44"/>
      <c r="S167" s="49">
        <f t="shared" si="165"/>
        <v>39295.57</v>
      </c>
      <c r="T167" s="85"/>
      <c r="U167" s="48"/>
      <c r="V167" s="48"/>
      <c r="W167" s="48"/>
      <c r="X167" s="48"/>
      <c r="Y167" s="48"/>
      <c r="Z167" s="48"/>
      <c r="AA167" s="48"/>
      <c r="AB167" s="48"/>
      <c r="AC167" s="48"/>
      <c r="AD167" s="48"/>
      <c r="AE167" s="48"/>
      <c r="AF167" s="48"/>
      <c r="AG167" s="48"/>
      <c r="AH167" s="48"/>
      <c r="AI167" s="48"/>
      <c r="AJ167" s="44"/>
      <c r="AK167" s="44"/>
      <c r="AL167" s="44"/>
    </row>
    <row r="168" spans="1:38" x14ac:dyDescent="0.25">
      <c r="A168" s="94"/>
      <c r="B168" s="261">
        <v>11</v>
      </c>
      <c r="C168" s="261"/>
      <c r="D168" s="261"/>
      <c r="E168" s="261" t="s">
        <v>572</v>
      </c>
      <c r="F168" s="261"/>
      <c r="G168" s="276"/>
      <c r="H168" s="262"/>
      <c r="I168" s="286"/>
      <c r="J168" s="261"/>
      <c r="K168" s="291"/>
      <c r="L168" s="261"/>
      <c r="M168" s="261"/>
      <c r="N168" s="261"/>
      <c r="O168" s="261"/>
      <c r="P168" s="263"/>
      <c r="Q168" s="263"/>
      <c r="R168" s="44"/>
      <c r="S168" s="49">
        <f t="shared" si="165"/>
        <v>0</v>
      </c>
      <c r="T168" s="85"/>
      <c r="U168" s="48"/>
      <c r="V168" s="48"/>
      <c r="W168" s="48"/>
      <c r="X168" s="48"/>
      <c r="Y168" s="48"/>
      <c r="Z168" s="48"/>
      <c r="AA168" s="48"/>
      <c r="AB168" s="48"/>
      <c r="AC168" s="48"/>
      <c r="AD168" s="48"/>
      <c r="AE168" s="48"/>
      <c r="AF168" s="48"/>
      <c r="AG168" s="48"/>
      <c r="AH168" s="48"/>
      <c r="AI168" s="48"/>
      <c r="AJ168" s="44"/>
      <c r="AK168" s="44"/>
      <c r="AL168" s="44"/>
    </row>
    <row r="169" spans="1:38" x14ac:dyDescent="0.25">
      <c r="A169" s="94"/>
      <c r="B169" s="261" t="s">
        <v>241</v>
      </c>
      <c r="C169" s="261"/>
      <c r="D169" s="261"/>
      <c r="E169" s="261" t="s">
        <v>1023</v>
      </c>
      <c r="F169" s="261"/>
      <c r="G169" s="276"/>
      <c r="H169" s="262"/>
      <c r="I169" s="286"/>
      <c r="J169" s="261"/>
      <c r="K169" s="291"/>
      <c r="L169" s="261"/>
      <c r="M169" s="261"/>
      <c r="N169" s="261"/>
      <c r="O169" s="261"/>
      <c r="P169" s="263"/>
      <c r="Q169" s="263"/>
      <c r="R169" s="44"/>
      <c r="S169" s="49">
        <f t="shared" si="165"/>
        <v>0</v>
      </c>
      <c r="T169" s="85"/>
      <c r="U169" s="48"/>
      <c r="V169" s="48"/>
      <c r="W169" s="48"/>
      <c r="X169" s="48"/>
      <c r="Y169" s="48"/>
      <c r="Z169" s="48"/>
      <c r="AA169" s="48"/>
      <c r="AB169" s="48"/>
      <c r="AC169" s="48"/>
      <c r="AD169" s="48"/>
      <c r="AE169" s="48"/>
      <c r="AF169" s="48"/>
      <c r="AG169" s="48"/>
      <c r="AH169" s="48"/>
      <c r="AI169" s="48"/>
      <c r="AJ169" s="44"/>
      <c r="AK169" s="44"/>
      <c r="AL169" s="44"/>
    </row>
    <row r="170" spans="1:38" ht="27.6" x14ac:dyDescent="0.25">
      <c r="A170" s="94"/>
      <c r="B170" s="265" t="s">
        <v>1022</v>
      </c>
      <c r="C170" s="266" t="s">
        <v>231</v>
      </c>
      <c r="D170" s="265" t="s">
        <v>40</v>
      </c>
      <c r="E170" s="265" t="s">
        <v>232</v>
      </c>
      <c r="F170" s="267" t="s">
        <v>41</v>
      </c>
      <c r="G170" s="277">
        <v>528.80999999999995</v>
      </c>
      <c r="H170" s="268">
        <f t="shared" ref="H170" si="210">I170+K170</f>
        <v>67.239999999999995</v>
      </c>
      <c r="I170" s="287">
        <v>14.54</v>
      </c>
      <c r="J170" s="268">
        <f t="shared" si="167"/>
        <v>18.45</v>
      </c>
      <c r="K170" s="292">
        <v>52.7</v>
      </c>
      <c r="L170" s="268">
        <f t="shared" ref="L170" si="211">K170*(1+$M$9)</f>
        <v>66.86</v>
      </c>
      <c r="M170" s="268">
        <f t="shared" ref="M170" si="212">L170+J170</f>
        <v>85.31</v>
      </c>
      <c r="N170" s="268">
        <f t="shared" ref="N170" si="213">J170*G170</f>
        <v>9756.5400000000009</v>
      </c>
      <c r="O170" s="268">
        <f t="shared" ref="O170" si="214">L170*G170</f>
        <v>35356.239999999998</v>
      </c>
      <c r="P170" s="268">
        <f t="shared" ref="P170" si="215">O170+N170</f>
        <v>45112.78</v>
      </c>
      <c r="Q170" s="269">
        <f t="shared" si="173"/>
        <v>1.78E-2</v>
      </c>
      <c r="R170" s="44"/>
      <c r="S170" s="49">
        <f t="shared" si="165"/>
        <v>35557.18</v>
      </c>
      <c r="T170" s="85"/>
      <c r="U170" s="48"/>
      <c r="V170" s="48"/>
      <c r="W170" s="48"/>
      <c r="X170" s="48"/>
      <c r="Y170" s="48"/>
      <c r="Z170" s="48"/>
      <c r="AA170" s="48"/>
      <c r="AB170" s="48"/>
      <c r="AC170" s="48"/>
      <c r="AD170" s="48"/>
      <c r="AE170" s="48"/>
      <c r="AF170" s="48"/>
      <c r="AG170" s="48"/>
      <c r="AH170" s="48"/>
      <c r="AI170" s="48"/>
      <c r="AJ170" s="44"/>
      <c r="AK170" s="44"/>
      <c r="AL170" s="44"/>
    </row>
    <row r="171" spans="1:38" x14ac:dyDescent="0.25">
      <c r="A171" s="94"/>
      <c r="B171" s="261">
        <v>12</v>
      </c>
      <c r="C171" s="261"/>
      <c r="D171" s="261"/>
      <c r="E171" s="261" t="s">
        <v>279</v>
      </c>
      <c r="F171" s="261"/>
      <c r="G171" s="276"/>
      <c r="H171" s="262"/>
      <c r="I171" s="286"/>
      <c r="J171" s="261"/>
      <c r="K171" s="291"/>
      <c r="L171" s="261"/>
      <c r="M171" s="261"/>
      <c r="N171" s="261"/>
      <c r="O171" s="261"/>
      <c r="P171" s="263"/>
      <c r="Q171" s="263"/>
      <c r="R171" s="44"/>
      <c r="S171" s="49">
        <f t="shared" si="165"/>
        <v>0</v>
      </c>
      <c r="T171" s="85"/>
      <c r="U171" s="48"/>
      <c r="V171" s="48"/>
      <c r="W171" s="48"/>
      <c r="X171" s="48"/>
      <c r="Y171" s="48"/>
      <c r="Z171" s="48"/>
      <c r="AA171" s="48"/>
      <c r="AB171" s="48"/>
      <c r="AC171" s="48"/>
      <c r="AD171" s="48"/>
      <c r="AE171" s="48"/>
      <c r="AF171" s="48"/>
      <c r="AG171" s="48"/>
      <c r="AH171" s="48"/>
      <c r="AI171" s="48"/>
      <c r="AJ171" s="44"/>
      <c r="AK171" s="44"/>
      <c r="AL171" s="44"/>
    </row>
    <row r="172" spans="1:38" ht="27.6" customHeight="1" x14ac:dyDescent="0.25">
      <c r="A172" s="94"/>
      <c r="B172" s="261" t="s">
        <v>242</v>
      </c>
      <c r="C172" s="261"/>
      <c r="D172" s="261"/>
      <c r="E172" s="261" t="s">
        <v>573</v>
      </c>
      <c r="F172" s="261"/>
      <c r="G172" s="276"/>
      <c r="H172" s="262"/>
      <c r="I172" s="286"/>
      <c r="J172" s="261"/>
      <c r="K172" s="291"/>
      <c r="L172" s="261"/>
      <c r="M172" s="261"/>
      <c r="N172" s="261"/>
      <c r="O172" s="261"/>
      <c r="P172" s="263"/>
      <c r="Q172" s="263"/>
      <c r="R172" s="44"/>
      <c r="S172" s="49">
        <f t="shared" si="165"/>
        <v>0</v>
      </c>
      <c r="T172" s="85"/>
      <c r="U172" s="48"/>
      <c r="V172" s="48"/>
      <c r="W172" s="48"/>
      <c r="X172" s="48"/>
      <c r="Y172" s="48"/>
      <c r="Z172" s="48"/>
      <c r="AA172" s="48"/>
      <c r="AB172" s="48"/>
      <c r="AC172" s="48"/>
      <c r="AD172" s="48"/>
      <c r="AE172" s="48"/>
      <c r="AF172" s="48"/>
      <c r="AG172" s="48"/>
      <c r="AH172" s="48"/>
      <c r="AI172" s="48"/>
      <c r="AJ172" s="44"/>
      <c r="AK172" s="44"/>
      <c r="AL172" s="44"/>
    </row>
    <row r="173" spans="1:38" x14ac:dyDescent="0.25">
      <c r="A173" s="94"/>
      <c r="B173" s="265" t="s">
        <v>1024</v>
      </c>
      <c r="C173" s="266" t="s">
        <v>281</v>
      </c>
      <c r="D173" s="265" t="s">
        <v>40</v>
      </c>
      <c r="E173" s="265" t="s">
        <v>282</v>
      </c>
      <c r="F173" s="267" t="s">
        <v>41</v>
      </c>
      <c r="G173" s="277">
        <v>715.44</v>
      </c>
      <c r="H173" s="268">
        <f t="shared" ref="H173:H183" si="216">I173+K173</f>
        <v>3.82</v>
      </c>
      <c r="I173" s="287">
        <v>1.53</v>
      </c>
      <c r="J173" s="268">
        <f t="shared" si="167"/>
        <v>1.94</v>
      </c>
      <c r="K173" s="292">
        <v>2.29</v>
      </c>
      <c r="L173" s="268">
        <f t="shared" ref="L173:L185" si="217">K173*(1+$M$9)</f>
        <v>2.91</v>
      </c>
      <c r="M173" s="268">
        <f t="shared" ref="M173" si="218">L173+J173</f>
        <v>4.8499999999999996</v>
      </c>
      <c r="N173" s="268">
        <f t="shared" ref="N173" si="219">J173*G173</f>
        <v>1387.95</v>
      </c>
      <c r="O173" s="268">
        <f t="shared" ref="O173" si="220">L173*G173</f>
        <v>2081.9299999999998</v>
      </c>
      <c r="P173" s="268">
        <f t="shared" ref="P173" si="221">O173+N173</f>
        <v>3469.88</v>
      </c>
      <c r="Q173" s="269">
        <f t="shared" si="173"/>
        <v>1.4E-3</v>
      </c>
      <c r="R173" s="44"/>
      <c r="S173" s="49">
        <f t="shared" si="165"/>
        <v>2732.98</v>
      </c>
      <c r="T173" s="85"/>
      <c r="U173" s="48"/>
      <c r="V173" s="48"/>
      <c r="W173" s="48"/>
      <c r="X173" s="48"/>
      <c r="Y173" s="48"/>
      <c r="Z173" s="48"/>
      <c r="AA173" s="48"/>
      <c r="AB173" s="48"/>
      <c r="AC173" s="48"/>
      <c r="AD173" s="48"/>
      <c r="AE173" s="48"/>
      <c r="AF173" s="48"/>
      <c r="AG173" s="48"/>
      <c r="AH173" s="48"/>
      <c r="AI173" s="48"/>
      <c r="AJ173" s="44"/>
      <c r="AK173" s="44"/>
      <c r="AL173" s="44"/>
    </row>
    <row r="174" spans="1:38" ht="27.6" customHeight="1" x14ac:dyDescent="0.25">
      <c r="A174" s="94"/>
      <c r="B174" s="265" t="s">
        <v>1025</v>
      </c>
      <c r="C174" s="266" t="s">
        <v>1174</v>
      </c>
      <c r="D174" s="265" t="s">
        <v>40</v>
      </c>
      <c r="E174" s="265" t="s">
        <v>1175</v>
      </c>
      <c r="F174" s="267" t="s">
        <v>41</v>
      </c>
      <c r="G174" s="277">
        <v>1349.77</v>
      </c>
      <c r="H174" s="268">
        <f t="shared" si="216"/>
        <v>9.67</v>
      </c>
      <c r="I174" s="287">
        <v>5.69</v>
      </c>
      <c r="J174" s="268">
        <f t="shared" si="167"/>
        <v>7.22</v>
      </c>
      <c r="K174" s="292">
        <v>3.98</v>
      </c>
      <c r="L174" s="268">
        <f t="shared" si="217"/>
        <v>5.05</v>
      </c>
      <c r="M174" s="268">
        <f t="shared" ref="M174:M177" si="222">L174+J174</f>
        <v>12.27</v>
      </c>
      <c r="N174" s="268">
        <f t="shared" ref="N174:N177" si="223">J174*G174</f>
        <v>9745.34</v>
      </c>
      <c r="O174" s="268">
        <f t="shared" ref="O174:O177" si="224">L174*G174</f>
        <v>6816.34</v>
      </c>
      <c r="P174" s="268">
        <f t="shared" ref="P174:P177" si="225">O174+N174</f>
        <v>16561.68</v>
      </c>
      <c r="Q174" s="269">
        <f t="shared" si="173"/>
        <v>6.4999999999999997E-3</v>
      </c>
      <c r="R174" s="44"/>
      <c r="S174" s="49">
        <f t="shared" si="165"/>
        <v>13052.28</v>
      </c>
      <c r="T174" s="126"/>
      <c r="U174" s="48"/>
      <c r="V174" s="48"/>
      <c r="W174" s="48"/>
      <c r="X174" s="48"/>
      <c r="Y174" s="48"/>
      <c r="Z174" s="48"/>
      <c r="AA174" s="48"/>
      <c r="AB174" s="48"/>
      <c r="AC174" s="48"/>
      <c r="AD174" s="48"/>
      <c r="AE174" s="48"/>
      <c r="AF174" s="48"/>
      <c r="AG174" s="48"/>
      <c r="AH174" s="48"/>
      <c r="AI174" s="48"/>
      <c r="AJ174" s="44"/>
      <c r="AK174" s="44"/>
      <c r="AL174" s="44"/>
    </row>
    <row r="175" spans="1:38" x14ac:dyDescent="0.25">
      <c r="A175" s="94"/>
      <c r="B175" s="265" t="s">
        <v>1026</v>
      </c>
      <c r="C175" s="266">
        <v>96130</v>
      </c>
      <c r="D175" s="265" t="s">
        <v>40</v>
      </c>
      <c r="E175" s="265" t="s">
        <v>1467</v>
      </c>
      <c r="F175" s="267" t="s">
        <v>41</v>
      </c>
      <c r="G175" s="277">
        <v>715.44</v>
      </c>
      <c r="H175" s="268">
        <f t="shared" si="216"/>
        <v>15.79</v>
      </c>
      <c r="I175" s="287">
        <v>8.94</v>
      </c>
      <c r="J175" s="268">
        <f t="shared" si="167"/>
        <v>11.34</v>
      </c>
      <c r="K175" s="292">
        <v>6.85</v>
      </c>
      <c r="L175" s="268">
        <f t="shared" si="217"/>
        <v>8.69</v>
      </c>
      <c r="M175" s="268">
        <f t="shared" si="222"/>
        <v>20.03</v>
      </c>
      <c r="N175" s="268">
        <f t="shared" si="223"/>
        <v>8113.09</v>
      </c>
      <c r="O175" s="268">
        <f t="shared" si="224"/>
        <v>6217.17</v>
      </c>
      <c r="P175" s="268">
        <f t="shared" si="225"/>
        <v>14330.26</v>
      </c>
      <c r="Q175" s="269">
        <f t="shared" si="173"/>
        <v>5.7000000000000002E-3</v>
      </c>
      <c r="R175" s="44"/>
      <c r="S175" s="49">
        <f t="shared" si="165"/>
        <v>11296.8</v>
      </c>
      <c r="T175" s="85"/>
      <c r="U175" s="48"/>
      <c r="V175" s="48"/>
      <c r="W175" s="48"/>
      <c r="X175" s="48"/>
      <c r="Y175" s="48"/>
      <c r="Z175" s="48"/>
      <c r="AA175" s="48"/>
      <c r="AB175" s="48"/>
      <c r="AC175" s="48"/>
      <c r="AD175" s="48"/>
      <c r="AE175" s="48"/>
      <c r="AF175" s="48"/>
      <c r="AG175" s="48"/>
      <c r="AH175" s="48"/>
      <c r="AI175" s="48"/>
      <c r="AJ175" s="44"/>
      <c r="AK175" s="44"/>
      <c r="AL175" s="44"/>
    </row>
    <row r="176" spans="1:38" x14ac:dyDescent="0.25">
      <c r="A176" s="94"/>
      <c r="B176" s="265" t="s">
        <v>1027</v>
      </c>
      <c r="C176" s="266" t="s">
        <v>1188</v>
      </c>
      <c r="D176" s="265" t="s">
        <v>40</v>
      </c>
      <c r="E176" s="265" t="s">
        <v>1189</v>
      </c>
      <c r="F176" s="267" t="s">
        <v>41</v>
      </c>
      <c r="G176" s="277">
        <v>1349.77</v>
      </c>
      <c r="H176" s="268">
        <f t="shared" si="216"/>
        <v>8.7200000000000006</v>
      </c>
      <c r="I176" s="287">
        <v>3.75</v>
      </c>
      <c r="J176" s="268">
        <f t="shared" si="167"/>
        <v>4.76</v>
      </c>
      <c r="K176" s="292">
        <v>4.97</v>
      </c>
      <c r="L176" s="268">
        <f t="shared" si="217"/>
        <v>6.31</v>
      </c>
      <c r="M176" s="268">
        <f t="shared" si="222"/>
        <v>11.07</v>
      </c>
      <c r="N176" s="268">
        <f t="shared" si="223"/>
        <v>6424.91</v>
      </c>
      <c r="O176" s="268">
        <f t="shared" si="224"/>
        <v>8517.0499999999993</v>
      </c>
      <c r="P176" s="268">
        <f t="shared" si="225"/>
        <v>14941.96</v>
      </c>
      <c r="Q176" s="269">
        <f t="shared" si="173"/>
        <v>5.8999999999999999E-3</v>
      </c>
      <c r="R176" s="44"/>
      <c r="S176" s="49">
        <f t="shared" si="165"/>
        <v>11769.99</v>
      </c>
      <c r="T176" s="85"/>
      <c r="U176" s="48"/>
      <c r="V176" s="48"/>
      <c r="W176" s="48"/>
      <c r="X176" s="48"/>
      <c r="Y176" s="48"/>
      <c r="Z176" s="48"/>
      <c r="AA176" s="48"/>
      <c r="AB176" s="48"/>
      <c r="AC176" s="48"/>
      <c r="AD176" s="48"/>
      <c r="AE176" s="48"/>
      <c r="AF176" s="48"/>
      <c r="AG176" s="48"/>
      <c r="AH176" s="48"/>
      <c r="AI176" s="48"/>
      <c r="AJ176" s="44"/>
      <c r="AK176" s="44"/>
      <c r="AL176" s="44"/>
    </row>
    <row r="177" spans="1:38" x14ac:dyDescent="0.25">
      <c r="A177" s="94"/>
      <c r="B177" s="265" t="s">
        <v>1468</v>
      </c>
      <c r="C177" s="266" t="s">
        <v>1190</v>
      </c>
      <c r="D177" s="265" t="s">
        <v>40</v>
      </c>
      <c r="E177" s="265" t="s">
        <v>1191</v>
      </c>
      <c r="F177" s="267" t="s">
        <v>41</v>
      </c>
      <c r="G177" s="277">
        <v>1021.14</v>
      </c>
      <c r="H177" s="268">
        <f t="shared" si="216"/>
        <v>13.38</v>
      </c>
      <c r="I177" s="287">
        <v>3.54</v>
      </c>
      <c r="J177" s="268">
        <f t="shared" si="167"/>
        <v>4.49</v>
      </c>
      <c r="K177" s="292">
        <v>9.84</v>
      </c>
      <c r="L177" s="268">
        <f t="shared" si="217"/>
        <v>12.48</v>
      </c>
      <c r="M177" s="268">
        <f t="shared" si="222"/>
        <v>16.97</v>
      </c>
      <c r="N177" s="268">
        <f t="shared" si="223"/>
        <v>4584.92</v>
      </c>
      <c r="O177" s="268">
        <f t="shared" si="224"/>
        <v>12743.83</v>
      </c>
      <c r="P177" s="268">
        <f t="shared" si="225"/>
        <v>17328.75</v>
      </c>
      <c r="Q177" s="269">
        <f t="shared" si="173"/>
        <v>6.8999999999999999E-3</v>
      </c>
      <c r="R177" s="44"/>
      <c r="S177" s="49">
        <f t="shared" si="165"/>
        <v>13662.85</v>
      </c>
      <c r="T177" s="85"/>
      <c r="U177" s="48"/>
      <c r="V177" s="48"/>
      <c r="W177" s="48"/>
      <c r="X177" s="48"/>
      <c r="Y177" s="48"/>
      <c r="Z177" s="48"/>
      <c r="AA177" s="48"/>
      <c r="AB177" s="48"/>
      <c r="AC177" s="48"/>
      <c r="AD177" s="48"/>
      <c r="AE177" s="48"/>
      <c r="AF177" s="48"/>
      <c r="AG177" s="48"/>
      <c r="AH177" s="48"/>
      <c r="AI177" s="48"/>
      <c r="AJ177" s="44"/>
      <c r="AK177" s="44"/>
      <c r="AL177" s="44"/>
    </row>
    <row r="178" spans="1:38" x14ac:dyDescent="0.25">
      <c r="A178" s="94"/>
      <c r="B178" s="261" t="s">
        <v>888</v>
      </c>
      <c r="C178" s="261"/>
      <c r="D178" s="261"/>
      <c r="E178" s="261" t="s">
        <v>574</v>
      </c>
      <c r="F178" s="261"/>
      <c r="G178" s="276"/>
      <c r="H178" s="262"/>
      <c r="I178" s="286"/>
      <c r="J178" s="261"/>
      <c r="K178" s="291"/>
      <c r="L178" s="261"/>
      <c r="M178" s="261"/>
      <c r="N178" s="261"/>
      <c r="O178" s="261"/>
      <c r="P178" s="263"/>
      <c r="Q178" s="263"/>
      <c r="R178" s="44"/>
      <c r="S178" s="49">
        <f t="shared" si="165"/>
        <v>0</v>
      </c>
      <c r="T178" s="85"/>
      <c r="U178" s="48"/>
      <c r="V178" s="48"/>
      <c r="W178" s="48"/>
      <c r="X178" s="48"/>
      <c r="Y178" s="48"/>
      <c r="Z178" s="48"/>
      <c r="AA178" s="48"/>
      <c r="AB178" s="48"/>
      <c r="AC178" s="48"/>
      <c r="AD178" s="48"/>
      <c r="AE178" s="48"/>
      <c r="AF178" s="48"/>
      <c r="AG178" s="48"/>
      <c r="AH178" s="48"/>
      <c r="AI178" s="48"/>
      <c r="AJ178" s="44"/>
      <c r="AK178" s="44"/>
      <c r="AL178" s="44"/>
    </row>
    <row r="179" spans="1:38" x14ac:dyDescent="0.25">
      <c r="A179" s="94"/>
      <c r="B179" s="265" t="s">
        <v>1028</v>
      </c>
      <c r="C179" s="266" t="s">
        <v>1176</v>
      </c>
      <c r="D179" s="265" t="s">
        <v>40</v>
      </c>
      <c r="E179" s="265" t="s">
        <v>1177</v>
      </c>
      <c r="F179" s="267" t="s">
        <v>41</v>
      </c>
      <c r="G179" s="277">
        <v>528.80999999999995</v>
      </c>
      <c r="H179" s="268">
        <f t="shared" si="216"/>
        <v>17.78</v>
      </c>
      <c r="I179" s="287">
        <v>11.66</v>
      </c>
      <c r="J179" s="268">
        <f t="shared" si="167"/>
        <v>14.79</v>
      </c>
      <c r="K179" s="292">
        <v>6.12</v>
      </c>
      <c r="L179" s="268">
        <f t="shared" si="217"/>
        <v>7.76</v>
      </c>
      <c r="M179" s="268">
        <f t="shared" ref="M179" si="226">L179+J179</f>
        <v>22.55</v>
      </c>
      <c r="N179" s="268">
        <f t="shared" ref="N179" si="227">J179*G179</f>
        <v>7821.1</v>
      </c>
      <c r="O179" s="268">
        <f t="shared" ref="O179" si="228">L179*G179</f>
        <v>4103.57</v>
      </c>
      <c r="P179" s="268">
        <f t="shared" ref="P179" si="229">O179+N179</f>
        <v>11924.67</v>
      </c>
      <c r="Q179" s="269">
        <f t="shared" si="173"/>
        <v>4.7000000000000002E-3</v>
      </c>
      <c r="R179" s="44"/>
      <c r="S179" s="49">
        <f t="shared" si="165"/>
        <v>9402.24</v>
      </c>
      <c r="T179" s="85"/>
      <c r="U179" s="48"/>
      <c r="V179" s="48"/>
      <c r="W179" s="48"/>
      <c r="X179" s="48"/>
      <c r="Y179" s="48"/>
      <c r="Z179" s="48"/>
      <c r="AA179" s="48"/>
      <c r="AB179" s="48"/>
      <c r="AC179" s="48"/>
      <c r="AD179" s="48"/>
      <c r="AE179" s="48"/>
      <c r="AF179" s="48"/>
      <c r="AG179" s="48"/>
      <c r="AH179" s="48"/>
      <c r="AI179" s="48"/>
      <c r="AJ179" s="44"/>
      <c r="AK179" s="44"/>
      <c r="AL179" s="44"/>
    </row>
    <row r="180" spans="1:38" x14ac:dyDescent="0.25">
      <c r="A180" s="94"/>
      <c r="B180" s="265" t="s">
        <v>1029</v>
      </c>
      <c r="C180" s="266" t="s">
        <v>1192</v>
      </c>
      <c r="D180" s="265" t="s">
        <v>40</v>
      </c>
      <c r="E180" s="265" t="s">
        <v>1193</v>
      </c>
      <c r="F180" s="267" t="s">
        <v>41</v>
      </c>
      <c r="G180" s="277">
        <v>528.80999999999995</v>
      </c>
      <c r="H180" s="268">
        <f t="shared" si="216"/>
        <v>10.71</v>
      </c>
      <c r="I180" s="287">
        <v>5.22</v>
      </c>
      <c r="J180" s="268">
        <f t="shared" si="167"/>
        <v>6.62</v>
      </c>
      <c r="K180" s="292">
        <v>5.49</v>
      </c>
      <c r="L180" s="268">
        <f t="shared" si="217"/>
        <v>6.97</v>
      </c>
      <c r="M180" s="268">
        <f t="shared" ref="M180" si="230">L180+J180</f>
        <v>13.59</v>
      </c>
      <c r="N180" s="268">
        <f t="shared" ref="N180" si="231">J180*G180</f>
        <v>3500.72</v>
      </c>
      <c r="O180" s="268">
        <f t="shared" ref="O180" si="232">L180*G180</f>
        <v>3685.81</v>
      </c>
      <c r="P180" s="268">
        <f t="shared" ref="P180" si="233">O180+N180</f>
        <v>7186.53</v>
      </c>
      <c r="Q180" s="269">
        <f t="shared" si="173"/>
        <v>2.8E-3</v>
      </c>
      <c r="R180" s="44"/>
      <c r="S180" s="49">
        <f t="shared" si="165"/>
        <v>5663.56</v>
      </c>
      <c r="T180" s="85"/>
      <c r="U180" s="48"/>
      <c r="V180" s="48"/>
      <c r="W180" s="48"/>
      <c r="X180" s="48"/>
      <c r="Y180" s="48"/>
      <c r="Z180" s="48"/>
      <c r="AA180" s="48"/>
      <c r="AB180" s="48"/>
      <c r="AC180" s="48"/>
      <c r="AD180" s="48"/>
      <c r="AE180" s="48"/>
      <c r="AF180" s="48"/>
      <c r="AG180" s="48"/>
      <c r="AH180" s="48"/>
      <c r="AI180" s="48"/>
      <c r="AJ180" s="44"/>
      <c r="AK180" s="44"/>
      <c r="AL180" s="44"/>
    </row>
    <row r="181" spans="1:38" x14ac:dyDescent="0.25">
      <c r="A181" s="94"/>
      <c r="B181" s="261" t="s">
        <v>1354</v>
      </c>
      <c r="C181" s="261"/>
      <c r="D181" s="261"/>
      <c r="E181" s="261" t="s">
        <v>245</v>
      </c>
      <c r="F181" s="261"/>
      <c r="G181" s="276"/>
      <c r="H181" s="262"/>
      <c r="I181" s="286"/>
      <c r="J181" s="261"/>
      <c r="K181" s="291"/>
      <c r="L181" s="261"/>
      <c r="M181" s="261"/>
      <c r="N181" s="261"/>
      <c r="O181" s="261"/>
      <c r="P181" s="263"/>
      <c r="Q181" s="263"/>
      <c r="R181" s="44"/>
      <c r="S181" s="49">
        <f t="shared" si="165"/>
        <v>0</v>
      </c>
      <c r="T181" s="85"/>
      <c r="U181" s="48"/>
      <c r="V181" s="48"/>
      <c r="W181" s="48"/>
      <c r="X181" s="48"/>
      <c r="Y181" s="48"/>
      <c r="Z181" s="48"/>
      <c r="AA181" s="48"/>
      <c r="AB181" s="48"/>
      <c r="AC181" s="48"/>
      <c r="AD181" s="48"/>
      <c r="AE181" s="48"/>
      <c r="AF181" s="48"/>
      <c r="AG181" s="48"/>
      <c r="AH181" s="48"/>
      <c r="AI181" s="48"/>
      <c r="AJ181" s="44"/>
      <c r="AK181" s="44"/>
      <c r="AL181" s="44"/>
    </row>
    <row r="182" spans="1:38" x14ac:dyDescent="0.25">
      <c r="A182" s="94"/>
      <c r="B182" s="265" t="s">
        <v>1355</v>
      </c>
      <c r="C182" s="266" t="s">
        <v>1356</v>
      </c>
      <c r="D182" s="265" t="s">
        <v>40</v>
      </c>
      <c r="E182" s="265" t="s">
        <v>1357</v>
      </c>
      <c r="F182" s="267" t="s">
        <v>41</v>
      </c>
      <c r="G182" s="277">
        <v>61.69</v>
      </c>
      <c r="H182" s="268">
        <f t="shared" si="216"/>
        <v>21.19</v>
      </c>
      <c r="I182" s="287">
        <v>5.15</v>
      </c>
      <c r="J182" s="268">
        <f t="shared" si="167"/>
        <v>6.53</v>
      </c>
      <c r="K182" s="292">
        <v>16.04</v>
      </c>
      <c r="L182" s="268">
        <f t="shared" si="217"/>
        <v>20.350000000000001</v>
      </c>
      <c r="M182" s="268">
        <f t="shared" ref="M182" si="234">L182+J182</f>
        <v>26.88</v>
      </c>
      <c r="N182" s="268">
        <f t="shared" ref="N182" si="235">J182*G182</f>
        <v>402.84</v>
      </c>
      <c r="O182" s="268">
        <f t="shared" ref="O182" si="236">L182*G182</f>
        <v>1255.3900000000001</v>
      </c>
      <c r="P182" s="268">
        <f t="shared" ref="P182" si="237">O182+N182</f>
        <v>1658.23</v>
      </c>
      <c r="Q182" s="269">
        <f t="shared" si="173"/>
        <v>6.9999999999999999E-4</v>
      </c>
      <c r="R182" s="44"/>
      <c r="S182" s="49">
        <f t="shared" si="165"/>
        <v>1307.21</v>
      </c>
      <c r="T182" s="85"/>
      <c r="U182" s="48"/>
      <c r="V182" s="48"/>
      <c r="W182" s="48"/>
      <c r="X182" s="48"/>
      <c r="Y182" s="48"/>
      <c r="Z182" s="48"/>
      <c r="AA182" s="48"/>
      <c r="AB182" s="48"/>
      <c r="AC182" s="48"/>
      <c r="AD182" s="48"/>
      <c r="AE182" s="48"/>
      <c r="AF182" s="48"/>
      <c r="AG182" s="48"/>
      <c r="AH182" s="48"/>
      <c r="AI182" s="48"/>
      <c r="AJ182" s="44"/>
      <c r="AK182" s="44"/>
      <c r="AL182" s="44"/>
    </row>
    <row r="183" spans="1:38" ht="27.6" customHeight="1" x14ac:dyDescent="0.25">
      <c r="A183" s="94"/>
      <c r="B183" s="265" t="s">
        <v>1358</v>
      </c>
      <c r="C183" s="266">
        <v>102219</v>
      </c>
      <c r="D183" s="265" t="s">
        <v>40</v>
      </c>
      <c r="E183" s="265" t="s">
        <v>1359</v>
      </c>
      <c r="F183" s="267" t="s">
        <v>41</v>
      </c>
      <c r="G183" s="277">
        <v>61.69</v>
      </c>
      <c r="H183" s="268">
        <f t="shared" si="216"/>
        <v>16.489999999999998</v>
      </c>
      <c r="I183" s="287">
        <v>7</v>
      </c>
      <c r="J183" s="268">
        <f t="shared" si="167"/>
        <v>8.8800000000000008</v>
      </c>
      <c r="K183" s="292">
        <v>9.49</v>
      </c>
      <c r="L183" s="268">
        <f t="shared" si="217"/>
        <v>12.04</v>
      </c>
      <c r="M183" s="268">
        <f t="shared" ref="M183" si="238">L183+J183</f>
        <v>20.92</v>
      </c>
      <c r="N183" s="268">
        <f t="shared" ref="N183" si="239">J183*G183</f>
        <v>547.80999999999995</v>
      </c>
      <c r="O183" s="268">
        <f t="shared" ref="O183" si="240">L183*G183</f>
        <v>742.75</v>
      </c>
      <c r="P183" s="268">
        <f t="shared" ref="P183" si="241">O183+N183</f>
        <v>1290.56</v>
      </c>
      <c r="Q183" s="269">
        <f t="shared" si="173"/>
        <v>5.0000000000000001E-4</v>
      </c>
      <c r="R183" s="44"/>
      <c r="S183" s="49">
        <f t="shared" si="165"/>
        <v>1017.27</v>
      </c>
      <c r="T183" s="85"/>
      <c r="U183" s="48"/>
      <c r="V183" s="48"/>
      <c r="W183" s="48"/>
      <c r="X183" s="48"/>
      <c r="Y183" s="48"/>
      <c r="Z183" s="48"/>
      <c r="AA183" s="48"/>
      <c r="AB183" s="48"/>
      <c r="AC183" s="48"/>
      <c r="AD183" s="48"/>
      <c r="AE183" s="48"/>
      <c r="AF183" s="48"/>
      <c r="AG183" s="48"/>
      <c r="AH183" s="48"/>
      <c r="AI183" s="48"/>
      <c r="AJ183" s="44"/>
      <c r="AK183" s="44"/>
      <c r="AL183" s="44"/>
    </row>
    <row r="184" spans="1:38" x14ac:dyDescent="0.25">
      <c r="A184" s="94"/>
      <c r="B184" s="261">
        <v>13</v>
      </c>
      <c r="C184" s="261"/>
      <c r="D184" s="261"/>
      <c r="E184" s="261" t="s">
        <v>575</v>
      </c>
      <c r="F184" s="261"/>
      <c r="G184" s="276"/>
      <c r="H184" s="262"/>
      <c r="I184" s="286"/>
      <c r="J184" s="261"/>
      <c r="K184" s="291"/>
      <c r="L184" s="261"/>
      <c r="M184" s="261"/>
      <c r="N184" s="261"/>
      <c r="O184" s="261"/>
      <c r="P184" s="263"/>
      <c r="Q184" s="263"/>
      <c r="R184" s="44"/>
      <c r="S184" s="49">
        <f t="shared" si="165"/>
        <v>0</v>
      </c>
      <c r="T184" s="85"/>
      <c r="U184" s="48"/>
      <c r="V184" s="48"/>
      <c r="W184" s="48"/>
      <c r="X184" s="48"/>
      <c r="Y184" s="48"/>
      <c r="Z184" s="48"/>
      <c r="AA184" s="48"/>
      <c r="AB184" s="48"/>
      <c r="AC184" s="48"/>
      <c r="AD184" s="48"/>
      <c r="AE184" s="48"/>
      <c r="AF184" s="48"/>
      <c r="AG184" s="48"/>
      <c r="AH184" s="48"/>
      <c r="AI184" s="48"/>
      <c r="AJ184" s="44"/>
      <c r="AK184" s="44"/>
      <c r="AL184" s="44"/>
    </row>
    <row r="185" spans="1:38" x14ac:dyDescent="0.25">
      <c r="A185" s="94"/>
      <c r="B185" s="265" t="s">
        <v>246</v>
      </c>
      <c r="C185" s="266" t="s">
        <v>243</v>
      </c>
      <c r="D185" s="265" t="s">
        <v>146</v>
      </c>
      <c r="E185" s="265" t="s">
        <v>244</v>
      </c>
      <c r="F185" s="267" t="s">
        <v>41</v>
      </c>
      <c r="G185" s="277">
        <v>19.8</v>
      </c>
      <c r="H185" s="268">
        <v>664.43</v>
      </c>
      <c r="I185" s="287">
        <f>2.47+4.45+12.43+15.56</f>
        <v>34.909999999999997</v>
      </c>
      <c r="J185" s="268">
        <f t="shared" si="167"/>
        <v>44.29</v>
      </c>
      <c r="K185" s="292">
        <f>H185-I185</f>
        <v>629.52</v>
      </c>
      <c r="L185" s="268">
        <f t="shared" si="217"/>
        <v>798.67</v>
      </c>
      <c r="M185" s="268">
        <f t="shared" ref="M185" si="242">L185+J185</f>
        <v>842.96</v>
      </c>
      <c r="N185" s="268">
        <f t="shared" ref="N185" si="243">J185*G185</f>
        <v>876.94</v>
      </c>
      <c r="O185" s="268">
        <f t="shared" ref="O185" si="244">L185*G185</f>
        <v>15813.67</v>
      </c>
      <c r="P185" s="268">
        <f t="shared" ref="P185" si="245">O185+N185</f>
        <v>16690.61</v>
      </c>
      <c r="Q185" s="269">
        <f t="shared" si="173"/>
        <v>6.6E-3</v>
      </c>
      <c r="R185" s="44"/>
      <c r="S185" s="49">
        <f t="shared" si="165"/>
        <v>13155.71</v>
      </c>
      <c r="T185" s="126"/>
      <c r="U185" s="48"/>
      <c r="V185" s="48"/>
      <c r="W185" s="48"/>
      <c r="X185" s="48"/>
      <c r="Y185" s="48"/>
      <c r="Z185" s="48"/>
      <c r="AA185" s="48"/>
      <c r="AB185" s="48"/>
      <c r="AC185" s="48"/>
      <c r="AD185" s="48"/>
      <c r="AE185" s="48"/>
      <c r="AF185" s="48"/>
      <c r="AG185" s="48"/>
      <c r="AH185" s="48"/>
      <c r="AI185" s="48"/>
      <c r="AJ185" s="44"/>
      <c r="AK185" s="44"/>
      <c r="AL185" s="44"/>
    </row>
    <row r="186" spans="1:38" x14ac:dyDescent="0.25">
      <c r="A186" s="94"/>
      <c r="B186" s="261">
        <v>14</v>
      </c>
      <c r="C186" s="261"/>
      <c r="D186" s="261"/>
      <c r="E186" s="261" t="s">
        <v>576</v>
      </c>
      <c r="F186" s="261"/>
      <c r="G186" s="276"/>
      <c r="H186" s="262"/>
      <c r="I186" s="286"/>
      <c r="J186" s="261"/>
      <c r="K186" s="291"/>
      <c r="L186" s="261"/>
      <c r="M186" s="261"/>
      <c r="N186" s="261"/>
      <c r="O186" s="261"/>
      <c r="P186" s="263"/>
      <c r="Q186" s="263"/>
      <c r="R186" s="44"/>
      <c r="S186" s="49">
        <f t="shared" si="165"/>
        <v>0</v>
      </c>
      <c r="T186" s="126"/>
      <c r="U186" s="48"/>
      <c r="V186" s="48"/>
      <c r="W186" s="48"/>
      <c r="X186" s="48"/>
      <c r="Y186" s="48"/>
      <c r="Z186" s="48"/>
      <c r="AA186" s="48"/>
      <c r="AB186" s="48"/>
      <c r="AC186" s="48"/>
      <c r="AD186" s="48"/>
      <c r="AE186" s="48"/>
      <c r="AF186" s="48"/>
      <c r="AG186" s="48"/>
      <c r="AH186" s="48"/>
      <c r="AI186" s="48"/>
      <c r="AJ186" s="44"/>
      <c r="AK186" s="44"/>
      <c r="AL186" s="44"/>
    </row>
    <row r="187" spans="1:38" x14ac:dyDescent="0.25">
      <c r="A187" s="94"/>
      <c r="B187" s="261" t="s">
        <v>251</v>
      </c>
      <c r="C187" s="261"/>
      <c r="D187" s="261"/>
      <c r="E187" s="261" t="s">
        <v>577</v>
      </c>
      <c r="F187" s="261"/>
      <c r="G187" s="276"/>
      <c r="H187" s="262"/>
      <c r="I187" s="286"/>
      <c r="J187" s="261"/>
      <c r="K187" s="291"/>
      <c r="L187" s="261"/>
      <c r="M187" s="261"/>
      <c r="N187" s="261"/>
      <c r="O187" s="261"/>
      <c r="P187" s="263"/>
      <c r="Q187" s="263"/>
      <c r="R187" s="44"/>
      <c r="S187" s="49">
        <f t="shared" si="165"/>
        <v>0</v>
      </c>
      <c r="T187" s="126"/>
      <c r="U187" s="48"/>
      <c r="V187" s="48"/>
      <c r="W187" s="48"/>
      <c r="X187" s="48"/>
      <c r="Y187" s="48"/>
      <c r="Z187" s="48"/>
      <c r="AA187" s="48"/>
      <c r="AB187" s="48"/>
      <c r="AC187" s="48"/>
      <c r="AD187" s="48"/>
      <c r="AE187" s="48"/>
      <c r="AF187" s="48"/>
      <c r="AG187" s="48"/>
      <c r="AH187" s="48"/>
      <c r="AI187" s="48"/>
      <c r="AJ187" s="44"/>
      <c r="AK187" s="44"/>
      <c r="AL187" s="44"/>
    </row>
    <row r="188" spans="1:38" ht="27.6" customHeight="1" x14ac:dyDescent="0.25">
      <c r="A188" s="94"/>
      <c r="B188" s="265" t="s">
        <v>1030</v>
      </c>
      <c r="C188" s="266" t="s">
        <v>254</v>
      </c>
      <c r="D188" s="265" t="s">
        <v>40</v>
      </c>
      <c r="E188" s="265" t="s">
        <v>1031</v>
      </c>
      <c r="F188" s="267" t="s">
        <v>44</v>
      </c>
      <c r="G188" s="277">
        <v>3</v>
      </c>
      <c r="H188" s="268">
        <f t="shared" ref="H188:H210" si="246">I188+K188</f>
        <v>109.86</v>
      </c>
      <c r="I188" s="287">
        <v>10.18</v>
      </c>
      <c r="J188" s="268">
        <f t="shared" si="167"/>
        <v>12.92</v>
      </c>
      <c r="K188" s="292">
        <v>99.68</v>
      </c>
      <c r="L188" s="268">
        <f t="shared" ref="L188:L212" si="247">K188*(1+$M$9)</f>
        <v>126.46</v>
      </c>
      <c r="M188" s="268">
        <f t="shared" ref="M188" si="248">L188+J188</f>
        <v>139.38</v>
      </c>
      <c r="N188" s="268">
        <f t="shared" ref="N188" si="249">J188*G188</f>
        <v>38.76</v>
      </c>
      <c r="O188" s="268">
        <f t="shared" ref="O188" si="250">L188*G188</f>
        <v>379.38</v>
      </c>
      <c r="P188" s="268">
        <f t="shared" ref="P188" si="251">O188+N188</f>
        <v>418.14</v>
      </c>
      <c r="Q188" s="269">
        <f t="shared" si="173"/>
        <v>2.0000000000000001E-4</v>
      </c>
      <c r="R188" s="44"/>
      <c r="S188" s="49">
        <f t="shared" si="165"/>
        <v>329.58</v>
      </c>
      <c r="T188" s="126"/>
      <c r="U188" s="48"/>
      <c r="V188" s="48"/>
      <c r="W188" s="48"/>
      <c r="X188" s="48"/>
      <c r="Y188" s="48"/>
      <c r="Z188" s="48"/>
      <c r="AA188" s="48"/>
      <c r="AB188" s="48"/>
      <c r="AC188" s="48"/>
      <c r="AD188" s="48"/>
      <c r="AE188" s="48"/>
      <c r="AF188" s="48"/>
      <c r="AG188" s="48"/>
      <c r="AH188" s="48"/>
      <c r="AI188" s="48"/>
      <c r="AJ188" s="44"/>
      <c r="AK188" s="44"/>
      <c r="AL188" s="44"/>
    </row>
    <row r="189" spans="1:38" x14ac:dyDescent="0.25">
      <c r="A189" s="94"/>
      <c r="B189" s="261" t="s">
        <v>866</v>
      </c>
      <c r="C189" s="261"/>
      <c r="D189" s="261"/>
      <c r="E189" s="261" t="s">
        <v>582</v>
      </c>
      <c r="F189" s="261"/>
      <c r="G189" s="276"/>
      <c r="H189" s="262"/>
      <c r="I189" s="286"/>
      <c r="J189" s="261"/>
      <c r="K189" s="291"/>
      <c r="L189" s="261"/>
      <c r="M189" s="261"/>
      <c r="N189" s="261"/>
      <c r="O189" s="261"/>
      <c r="P189" s="263"/>
      <c r="Q189" s="263"/>
      <c r="R189" s="44"/>
      <c r="S189" s="49">
        <f t="shared" si="165"/>
        <v>0</v>
      </c>
      <c r="T189" s="126"/>
      <c r="U189" s="48"/>
      <c r="V189" s="48"/>
      <c r="W189" s="48"/>
      <c r="X189" s="48"/>
      <c r="Y189" s="48"/>
      <c r="Z189" s="48"/>
      <c r="AA189" s="48"/>
      <c r="AB189" s="48"/>
      <c r="AC189" s="48"/>
      <c r="AD189" s="48"/>
      <c r="AE189" s="48"/>
      <c r="AF189" s="48"/>
      <c r="AG189" s="48"/>
      <c r="AH189" s="48"/>
      <c r="AI189" s="48"/>
      <c r="AJ189" s="44"/>
      <c r="AK189" s="44"/>
      <c r="AL189" s="44"/>
    </row>
    <row r="190" spans="1:38" ht="27.6" x14ac:dyDescent="0.25">
      <c r="A190" s="94"/>
      <c r="B190" s="265" t="s">
        <v>1032</v>
      </c>
      <c r="C190" s="266" t="s">
        <v>252</v>
      </c>
      <c r="D190" s="265" t="s">
        <v>40</v>
      </c>
      <c r="E190" s="265" t="s">
        <v>253</v>
      </c>
      <c r="F190" s="267" t="s">
        <v>44</v>
      </c>
      <c r="G190" s="277">
        <v>7</v>
      </c>
      <c r="H190" s="268">
        <f t="shared" si="246"/>
        <v>547.1</v>
      </c>
      <c r="I190" s="287">
        <v>23.92</v>
      </c>
      <c r="J190" s="268">
        <f t="shared" si="167"/>
        <v>30.35</v>
      </c>
      <c r="K190" s="292">
        <v>523.17999999999995</v>
      </c>
      <c r="L190" s="268">
        <f t="shared" si="247"/>
        <v>663.76</v>
      </c>
      <c r="M190" s="268">
        <f t="shared" ref="M190" si="252">L190+J190</f>
        <v>694.11</v>
      </c>
      <c r="N190" s="268">
        <f t="shared" ref="N190" si="253">J190*G190</f>
        <v>212.45</v>
      </c>
      <c r="O190" s="268">
        <f t="shared" ref="O190" si="254">L190*G190</f>
        <v>4646.32</v>
      </c>
      <c r="P190" s="268">
        <f t="shared" ref="P190" si="255">O190+N190</f>
        <v>4858.7700000000004</v>
      </c>
      <c r="Q190" s="269">
        <f t="shared" si="173"/>
        <v>1.9E-3</v>
      </c>
      <c r="R190" s="44"/>
      <c r="S190" s="49">
        <f t="shared" si="165"/>
        <v>3829.7</v>
      </c>
      <c r="T190" s="126"/>
      <c r="U190" s="48"/>
      <c r="V190" s="48"/>
      <c r="W190" s="48"/>
      <c r="X190" s="48"/>
      <c r="Y190" s="48"/>
      <c r="Z190" s="48"/>
      <c r="AA190" s="48"/>
      <c r="AB190" s="48"/>
      <c r="AC190" s="48"/>
      <c r="AD190" s="48"/>
      <c r="AE190" s="48"/>
      <c r="AF190" s="48"/>
      <c r="AG190" s="48"/>
      <c r="AH190" s="48"/>
      <c r="AI190" s="48"/>
      <c r="AJ190" s="44"/>
      <c r="AK190" s="44"/>
      <c r="AL190" s="44"/>
    </row>
    <row r="191" spans="1:38" x14ac:dyDescent="0.25">
      <c r="A191" s="94"/>
      <c r="B191" s="265" t="s">
        <v>1033</v>
      </c>
      <c r="C191" s="266" t="s">
        <v>832</v>
      </c>
      <c r="D191" s="265" t="s">
        <v>199</v>
      </c>
      <c r="E191" s="265" t="s">
        <v>1034</v>
      </c>
      <c r="F191" s="267" t="s">
        <v>168</v>
      </c>
      <c r="G191" s="277">
        <v>1</v>
      </c>
      <c r="H191" s="268">
        <v>1064.22</v>
      </c>
      <c r="I191" s="287">
        <f>37.14+27.08</f>
        <v>64.22</v>
      </c>
      <c r="J191" s="268">
        <f t="shared" si="167"/>
        <v>81.48</v>
      </c>
      <c r="K191" s="292">
        <f>H191-I191</f>
        <v>1000</v>
      </c>
      <c r="L191" s="268">
        <f t="shared" si="247"/>
        <v>1268.7</v>
      </c>
      <c r="M191" s="268">
        <f t="shared" ref="M191:M196" si="256">L191+J191</f>
        <v>1350.18</v>
      </c>
      <c r="N191" s="268">
        <f t="shared" ref="N191:N196" si="257">J191*G191</f>
        <v>81.48</v>
      </c>
      <c r="O191" s="268">
        <f t="shared" ref="O191:O196" si="258">L191*G191</f>
        <v>1268.7</v>
      </c>
      <c r="P191" s="268">
        <f t="shared" ref="P191:P196" si="259">O191+N191</f>
        <v>1350.18</v>
      </c>
      <c r="Q191" s="269">
        <f t="shared" si="173"/>
        <v>5.0000000000000001E-4</v>
      </c>
      <c r="R191" s="44"/>
      <c r="S191" s="49">
        <f t="shared" si="165"/>
        <v>1064.22</v>
      </c>
      <c r="T191" s="126"/>
      <c r="U191" s="48"/>
      <c r="V191" s="48"/>
      <c r="W191" s="48"/>
      <c r="X191" s="48"/>
      <c r="Y191" s="48"/>
      <c r="Z191" s="48"/>
      <c r="AA191" s="48"/>
      <c r="AB191" s="48"/>
      <c r="AC191" s="48"/>
      <c r="AD191" s="48"/>
      <c r="AE191" s="48"/>
      <c r="AF191" s="48"/>
      <c r="AG191" s="48"/>
      <c r="AH191" s="48"/>
      <c r="AI191" s="48"/>
      <c r="AJ191" s="44"/>
      <c r="AK191" s="44"/>
      <c r="AL191" s="44"/>
    </row>
    <row r="192" spans="1:38" ht="41.4" x14ac:dyDescent="0.25">
      <c r="A192" s="94"/>
      <c r="B192" s="265" t="s">
        <v>1035</v>
      </c>
      <c r="C192" s="266" t="s">
        <v>833</v>
      </c>
      <c r="D192" s="265" t="s">
        <v>40</v>
      </c>
      <c r="E192" s="265" t="s">
        <v>834</v>
      </c>
      <c r="F192" s="267" t="s">
        <v>44</v>
      </c>
      <c r="G192" s="277">
        <v>15</v>
      </c>
      <c r="H192" s="268">
        <f t="shared" si="246"/>
        <v>439.85</v>
      </c>
      <c r="I192" s="287">
        <v>32.729999999999997</v>
      </c>
      <c r="J192" s="268">
        <f t="shared" si="167"/>
        <v>41.52</v>
      </c>
      <c r="K192" s="292">
        <v>407.12</v>
      </c>
      <c r="L192" s="268">
        <f t="shared" si="247"/>
        <v>516.51</v>
      </c>
      <c r="M192" s="268">
        <f t="shared" si="256"/>
        <v>558.03</v>
      </c>
      <c r="N192" s="268">
        <f t="shared" si="257"/>
        <v>622.79999999999995</v>
      </c>
      <c r="O192" s="268">
        <f t="shared" si="258"/>
        <v>7747.65</v>
      </c>
      <c r="P192" s="268">
        <f t="shared" si="259"/>
        <v>8370.4500000000007</v>
      </c>
      <c r="Q192" s="269">
        <f t="shared" si="173"/>
        <v>3.3E-3</v>
      </c>
      <c r="R192" s="44"/>
      <c r="S192" s="49">
        <f t="shared" si="165"/>
        <v>6597.75</v>
      </c>
      <c r="T192" s="126"/>
      <c r="U192" s="48"/>
      <c r="V192" s="48"/>
      <c r="W192" s="48"/>
      <c r="X192" s="48"/>
      <c r="Y192" s="48"/>
      <c r="Z192" s="48"/>
      <c r="AA192" s="48"/>
      <c r="AB192" s="48"/>
      <c r="AC192" s="48"/>
      <c r="AD192" s="48"/>
      <c r="AE192" s="48"/>
      <c r="AF192" s="48"/>
      <c r="AG192" s="48"/>
      <c r="AH192" s="48"/>
      <c r="AI192" s="48"/>
      <c r="AJ192" s="44"/>
      <c r="AK192" s="44"/>
      <c r="AL192" s="44"/>
    </row>
    <row r="193" spans="1:38" ht="41.4" x14ac:dyDescent="0.25">
      <c r="A193" s="94"/>
      <c r="B193" s="265" t="s">
        <v>1036</v>
      </c>
      <c r="C193" s="266" t="s">
        <v>255</v>
      </c>
      <c r="D193" s="265" t="s">
        <v>40</v>
      </c>
      <c r="E193" s="265" t="s">
        <v>256</v>
      </c>
      <c r="F193" s="267" t="s">
        <v>44</v>
      </c>
      <c r="G193" s="277">
        <v>1</v>
      </c>
      <c r="H193" s="268">
        <f t="shared" si="246"/>
        <v>922.35</v>
      </c>
      <c r="I193" s="287">
        <v>51.86</v>
      </c>
      <c r="J193" s="268">
        <f t="shared" si="167"/>
        <v>65.790000000000006</v>
      </c>
      <c r="K193" s="292">
        <v>870.49</v>
      </c>
      <c r="L193" s="268">
        <f t="shared" si="247"/>
        <v>1104.3900000000001</v>
      </c>
      <c r="M193" s="268">
        <f t="shared" si="256"/>
        <v>1170.18</v>
      </c>
      <c r="N193" s="268">
        <f t="shared" si="257"/>
        <v>65.790000000000006</v>
      </c>
      <c r="O193" s="268">
        <f t="shared" si="258"/>
        <v>1104.3900000000001</v>
      </c>
      <c r="P193" s="268">
        <f t="shared" si="259"/>
        <v>1170.18</v>
      </c>
      <c r="Q193" s="269">
        <f t="shared" si="173"/>
        <v>5.0000000000000001E-4</v>
      </c>
      <c r="R193" s="44"/>
      <c r="S193" s="49">
        <f t="shared" si="165"/>
        <v>922.35</v>
      </c>
      <c r="T193" s="126"/>
      <c r="U193" s="48"/>
      <c r="V193" s="48"/>
      <c r="W193" s="48"/>
      <c r="X193" s="48"/>
      <c r="Y193" s="48"/>
      <c r="Z193" s="48"/>
      <c r="AA193" s="48"/>
      <c r="AB193" s="48"/>
      <c r="AC193" s="48"/>
      <c r="AD193" s="48"/>
      <c r="AE193" s="48"/>
      <c r="AF193" s="48"/>
      <c r="AG193" s="48"/>
      <c r="AH193" s="48"/>
      <c r="AI193" s="48"/>
      <c r="AJ193" s="44"/>
      <c r="AK193" s="44"/>
      <c r="AL193" s="44"/>
    </row>
    <row r="194" spans="1:38" ht="27.6" x14ac:dyDescent="0.25">
      <c r="A194" s="94"/>
      <c r="B194" s="265" t="s">
        <v>1037</v>
      </c>
      <c r="C194" s="266" t="s">
        <v>583</v>
      </c>
      <c r="D194" s="265" t="s">
        <v>584</v>
      </c>
      <c r="E194" s="265" t="s">
        <v>762</v>
      </c>
      <c r="F194" s="267" t="s">
        <v>585</v>
      </c>
      <c r="G194" s="277">
        <v>1</v>
      </c>
      <c r="H194" s="268">
        <v>553.70000000000005</v>
      </c>
      <c r="I194" s="287">
        <v>93.28</v>
      </c>
      <c r="J194" s="268">
        <f t="shared" si="167"/>
        <v>118.34</v>
      </c>
      <c r="K194" s="292">
        <f>H194-I194</f>
        <v>460.42</v>
      </c>
      <c r="L194" s="268">
        <f t="shared" si="247"/>
        <v>584.13</v>
      </c>
      <c r="M194" s="268">
        <f t="shared" si="256"/>
        <v>702.47</v>
      </c>
      <c r="N194" s="268">
        <f t="shared" si="257"/>
        <v>118.34</v>
      </c>
      <c r="O194" s="268">
        <f t="shared" si="258"/>
        <v>584.13</v>
      </c>
      <c r="P194" s="268">
        <f t="shared" si="259"/>
        <v>702.47</v>
      </c>
      <c r="Q194" s="269">
        <f t="shared" si="173"/>
        <v>2.9999999999999997E-4</v>
      </c>
      <c r="R194" s="44"/>
      <c r="S194" s="49">
        <f t="shared" si="165"/>
        <v>553.70000000000005</v>
      </c>
      <c r="T194" s="126"/>
      <c r="U194" s="48"/>
      <c r="V194" s="48"/>
      <c r="W194" s="48"/>
      <c r="X194" s="48"/>
      <c r="Y194" s="48"/>
      <c r="Z194" s="48"/>
      <c r="AA194" s="48"/>
      <c r="AB194" s="48"/>
      <c r="AC194" s="48"/>
      <c r="AD194" s="48"/>
      <c r="AE194" s="48"/>
      <c r="AF194" s="48"/>
      <c r="AG194" s="48"/>
      <c r="AH194" s="48"/>
      <c r="AI194" s="48"/>
      <c r="AJ194" s="44"/>
      <c r="AK194" s="44"/>
      <c r="AL194" s="44"/>
    </row>
    <row r="195" spans="1:38" ht="27.6" x14ac:dyDescent="0.25">
      <c r="A195" s="94"/>
      <c r="B195" s="265" t="s">
        <v>1038</v>
      </c>
      <c r="C195" s="266" t="s">
        <v>962</v>
      </c>
      <c r="D195" s="265" t="s">
        <v>40</v>
      </c>
      <c r="E195" s="265" t="s">
        <v>963</v>
      </c>
      <c r="F195" s="267" t="s">
        <v>44</v>
      </c>
      <c r="G195" s="277">
        <v>3</v>
      </c>
      <c r="H195" s="268">
        <f t="shared" si="246"/>
        <v>241.43</v>
      </c>
      <c r="I195" s="287">
        <v>25.12</v>
      </c>
      <c r="J195" s="268">
        <f t="shared" si="167"/>
        <v>31.87</v>
      </c>
      <c r="K195" s="292">
        <v>216.31</v>
      </c>
      <c r="L195" s="268">
        <f t="shared" si="247"/>
        <v>274.43</v>
      </c>
      <c r="M195" s="268">
        <f t="shared" si="256"/>
        <v>306.3</v>
      </c>
      <c r="N195" s="268">
        <f t="shared" si="257"/>
        <v>95.61</v>
      </c>
      <c r="O195" s="268">
        <f t="shared" si="258"/>
        <v>823.29</v>
      </c>
      <c r="P195" s="268">
        <f t="shared" si="259"/>
        <v>918.9</v>
      </c>
      <c r="Q195" s="269">
        <f t="shared" si="173"/>
        <v>4.0000000000000002E-4</v>
      </c>
      <c r="R195" s="44"/>
      <c r="S195" s="49">
        <f t="shared" si="165"/>
        <v>724.29</v>
      </c>
      <c r="T195" s="85"/>
      <c r="U195" s="48"/>
      <c r="V195" s="48"/>
      <c r="W195" s="48"/>
      <c r="X195" s="48"/>
      <c r="Y195" s="48"/>
      <c r="Z195" s="48"/>
      <c r="AA195" s="48"/>
      <c r="AB195" s="48"/>
      <c r="AC195" s="48"/>
      <c r="AD195" s="48"/>
      <c r="AE195" s="48"/>
      <c r="AF195" s="48"/>
      <c r="AG195" s="48"/>
      <c r="AH195" s="48"/>
      <c r="AI195" s="48"/>
      <c r="AJ195" s="44"/>
      <c r="AK195" s="44"/>
      <c r="AL195" s="44"/>
    </row>
    <row r="196" spans="1:38" x14ac:dyDescent="0.25">
      <c r="A196" s="94"/>
      <c r="B196" s="265" t="s">
        <v>1039</v>
      </c>
      <c r="C196" s="266" t="s">
        <v>964</v>
      </c>
      <c r="D196" s="265" t="s">
        <v>199</v>
      </c>
      <c r="E196" s="265" t="s">
        <v>965</v>
      </c>
      <c r="F196" s="267" t="s">
        <v>168</v>
      </c>
      <c r="G196" s="277">
        <v>8</v>
      </c>
      <c r="H196" s="268">
        <v>123.36</v>
      </c>
      <c r="I196" s="287">
        <f>9.29+13.54</f>
        <v>22.83</v>
      </c>
      <c r="J196" s="268">
        <f t="shared" si="167"/>
        <v>28.96</v>
      </c>
      <c r="K196" s="292">
        <f>H196-I196</f>
        <v>100.53</v>
      </c>
      <c r="L196" s="268">
        <f t="shared" si="247"/>
        <v>127.54</v>
      </c>
      <c r="M196" s="268">
        <f t="shared" si="256"/>
        <v>156.5</v>
      </c>
      <c r="N196" s="268">
        <f t="shared" si="257"/>
        <v>231.68</v>
      </c>
      <c r="O196" s="268">
        <f t="shared" si="258"/>
        <v>1020.32</v>
      </c>
      <c r="P196" s="268">
        <f t="shared" si="259"/>
        <v>1252</v>
      </c>
      <c r="Q196" s="269">
        <f t="shared" si="173"/>
        <v>5.0000000000000001E-4</v>
      </c>
      <c r="R196" s="44"/>
      <c r="S196" s="49">
        <f t="shared" si="165"/>
        <v>986.88</v>
      </c>
      <c r="T196" s="85"/>
      <c r="U196" s="48"/>
      <c r="V196" s="48"/>
      <c r="W196" s="48"/>
      <c r="X196" s="48"/>
      <c r="Y196" s="48"/>
      <c r="Z196" s="48"/>
      <c r="AA196" s="48"/>
      <c r="AB196" s="48"/>
      <c r="AC196" s="48"/>
      <c r="AD196" s="48"/>
      <c r="AE196" s="48"/>
      <c r="AF196" s="48"/>
      <c r="AG196" s="48"/>
      <c r="AH196" s="48"/>
      <c r="AI196" s="48"/>
      <c r="AJ196" s="44"/>
      <c r="AK196" s="44"/>
      <c r="AL196" s="44"/>
    </row>
    <row r="197" spans="1:38" x14ac:dyDescent="0.25">
      <c r="A197" s="94"/>
      <c r="B197" s="261" t="s">
        <v>1040</v>
      </c>
      <c r="C197" s="261"/>
      <c r="D197" s="261"/>
      <c r="E197" s="261" t="s">
        <v>835</v>
      </c>
      <c r="F197" s="261"/>
      <c r="G197" s="276"/>
      <c r="H197" s="262"/>
      <c r="I197" s="286"/>
      <c r="J197" s="261"/>
      <c r="K197" s="291"/>
      <c r="L197" s="261"/>
      <c r="M197" s="261"/>
      <c r="N197" s="261"/>
      <c r="O197" s="261"/>
      <c r="P197" s="263"/>
      <c r="Q197" s="263"/>
      <c r="R197" s="44"/>
      <c r="S197" s="49">
        <f t="shared" si="165"/>
        <v>0</v>
      </c>
      <c r="T197" s="85"/>
      <c r="U197" s="48"/>
      <c r="V197" s="48"/>
      <c r="W197" s="48"/>
      <c r="X197" s="48"/>
      <c r="Y197" s="48"/>
      <c r="Z197" s="48"/>
      <c r="AA197" s="48"/>
      <c r="AB197" s="48"/>
      <c r="AC197" s="48"/>
      <c r="AD197" s="48"/>
      <c r="AE197" s="48"/>
      <c r="AF197" s="48"/>
      <c r="AG197" s="48"/>
      <c r="AH197" s="48"/>
      <c r="AI197" s="48"/>
      <c r="AJ197" s="44"/>
      <c r="AK197" s="44"/>
      <c r="AL197" s="44"/>
    </row>
    <row r="198" spans="1:38" x14ac:dyDescent="0.25">
      <c r="A198" s="94"/>
      <c r="B198" s="265" t="s">
        <v>1041</v>
      </c>
      <c r="C198" s="266" t="s">
        <v>836</v>
      </c>
      <c r="D198" s="265" t="s">
        <v>199</v>
      </c>
      <c r="E198" s="265" t="s">
        <v>837</v>
      </c>
      <c r="F198" s="267" t="s">
        <v>41</v>
      </c>
      <c r="G198" s="277">
        <v>7.14</v>
      </c>
      <c r="H198" s="268">
        <v>1333.12</v>
      </c>
      <c r="I198" s="287">
        <f>27.86+1.86+33.92+2.26+45.22+55.71</f>
        <v>166.83</v>
      </c>
      <c r="J198" s="268">
        <f t="shared" si="167"/>
        <v>211.66</v>
      </c>
      <c r="K198" s="292">
        <f>H198-I198</f>
        <v>1166.29</v>
      </c>
      <c r="L198" s="268">
        <f t="shared" si="247"/>
        <v>1479.67</v>
      </c>
      <c r="M198" s="268">
        <f t="shared" ref="M198" si="260">L198+J198</f>
        <v>1691.33</v>
      </c>
      <c r="N198" s="268">
        <f t="shared" ref="N198" si="261">J198*G198</f>
        <v>1511.25</v>
      </c>
      <c r="O198" s="268">
        <f t="shared" ref="O198" si="262">L198*G198</f>
        <v>10564.84</v>
      </c>
      <c r="P198" s="268">
        <f t="shared" ref="P198" si="263">O198+N198</f>
        <v>12076.09</v>
      </c>
      <c r="Q198" s="269">
        <f t="shared" si="173"/>
        <v>4.7999999999999996E-3</v>
      </c>
      <c r="R198" s="44"/>
      <c r="S198" s="49">
        <f t="shared" si="165"/>
        <v>9518.48</v>
      </c>
      <c r="T198" s="126"/>
      <c r="U198" s="48"/>
      <c r="V198" s="48"/>
      <c r="W198" s="48"/>
      <c r="X198" s="48"/>
      <c r="Y198" s="48"/>
      <c r="Z198" s="48"/>
      <c r="AA198" s="48"/>
      <c r="AB198" s="48"/>
      <c r="AC198" s="48"/>
      <c r="AD198" s="48"/>
      <c r="AE198" s="48"/>
      <c r="AF198" s="48"/>
      <c r="AG198" s="48"/>
      <c r="AH198" s="48"/>
      <c r="AI198" s="48"/>
      <c r="AJ198" s="44"/>
      <c r="AK198" s="44"/>
      <c r="AL198" s="44"/>
    </row>
    <row r="199" spans="1:38" x14ac:dyDescent="0.25">
      <c r="A199" s="94"/>
      <c r="B199" s="265" t="s">
        <v>1042</v>
      </c>
      <c r="C199" s="266" t="s">
        <v>838</v>
      </c>
      <c r="D199" s="265" t="s">
        <v>146</v>
      </c>
      <c r="E199" s="265" t="s">
        <v>839</v>
      </c>
      <c r="F199" s="267" t="s">
        <v>168</v>
      </c>
      <c r="G199" s="277">
        <v>1</v>
      </c>
      <c r="H199" s="268">
        <v>2408.48</v>
      </c>
      <c r="I199" s="287">
        <f>0.78+0.77+2.79+3.83</f>
        <v>8.17</v>
      </c>
      <c r="J199" s="268">
        <f t="shared" si="167"/>
        <v>10.37</v>
      </c>
      <c r="K199" s="292">
        <f>H199-I199</f>
        <v>2400.31</v>
      </c>
      <c r="L199" s="268">
        <f t="shared" si="247"/>
        <v>3045.27</v>
      </c>
      <c r="M199" s="268">
        <f t="shared" ref="M199:M212" si="264">L199+J199</f>
        <v>3055.64</v>
      </c>
      <c r="N199" s="268">
        <f t="shared" ref="N199:N212" si="265">J199*G199</f>
        <v>10.37</v>
      </c>
      <c r="O199" s="268">
        <f t="shared" ref="O199:O212" si="266">L199*G199</f>
        <v>3045.27</v>
      </c>
      <c r="P199" s="268">
        <f t="shared" ref="P199:P212" si="267">O199+N199</f>
        <v>3055.64</v>
      </c>
      <c r="Q199" s="269">
        <f t="shared" si="173"/>
        <v>1.1999999999999999E-3</v>
      </c>
      <c r="R199" s="44"/>
      <c r="S199" s="49">
        <f t="shared" si="165"/>
        <v>2408.48</v>
      </c>
      <c r="T199" s="126"/>
      <c r="U199" s="48"/>
      <c r="V199" s="48"/>
      <c r="W199" s="48"/>
      <c r="X199" s="48"/>
      <c r="Y199" s="48"/>
      <c r="Z199" s="48"/>
      <c r="AA199" s="48"/>
      <c r="AB199" s="48"/>
      <c r="AC199" s="48"/>
      <c r="AD199" s="48"/>
      <c r="AE199" s="48"/>
      <c r="AF199" s="48"/>
      <c r="AG199" s="48"/>
      <c r="AH199" s="48"/>
      <c r="AI199" s="48"/>
      <c r="AJ199" s="44"/>
      <c r="AK199" s="44"/>
      <c r="AL199" s="44"/>
    </row>
    <row r="200" spans="1:38" ht="27.6" x14ac:dyDescent="0.25">
      <c r="A200" s="94"/>
      <c r="B200" s="265" t="s">
        <v>1043</v>
      </c>
      <c r="C200" s="266" t="s">
        <v>1044</v>
      </c>
      <c r="D200" s="265" t="s">
        <v>40</v>
      </c>
      <c r="E200" s="265" t="s">
        <v>1045</v>
      </c>
      <c r="F200" s="267" t="s">
        <v>44</v>
      </c>
      <c r="G200" s="277">
        <v>8</v>
      </c>
      <c r="H200" s="268">
        <f t="shared" si="246"/>
        <v>206.34</v>
      </c>
      <c r="I200" s="287">
        <v>10.85</v>
      </c>
      <c r="J200" s="268">
        <f t="shared" si="167"/>
        <v>13.77</v>
      </c>
      <c r="K200" s="292">
        <v>195.49</v>
      </c>
      <c r="L200" s="268">
        <f t="shared" si="247"/>
        <v>248.02</v>
      </c>
      <c r="M200" s="268">
        <f t="shared" si="264"/>
        <v>261.79000000000002</v>
      </c>
      <c r="N200" s="268">
        <f t="shared" si="265"/>
        <v>110.16</v>
      </c>
      <c r="O200" s="268">
        <f t="shared" si="266"/>
        <v>1984.16</v>
      </c>
      <c r="P200" s="268">
        <f t="shared" si="267"/>
        <v>2094.3200000000002</v>
      </c>
      <c r="Q200" s="269">
        <f t="shared" si="173"/>
        <v>8.0000000000000004E-4</v>
      </c>
      <c r="R200" s="44"/>
      <c r="S200" s="49">
        <f t="shared" si="165"/>
        <v>1650.72</v>
      </c>
      <c r="T200" s="126"/>
      <c r="U200" s="48"/>
      <c r="V200" s="48"/>
      <c r="W200" s="48"/>
      <c r="X200" s="48"/>
      <c r="Y200" s="48"/>
      <c r="Z200" s="48"/>
      <c r="AA200" s="48"/>
      <c r="AB200" s="48"/>
      <c r="AC200" s="48"/>
      <c r="AD200" s="48"/>
      <c r="AE200" s="48"/>
      <c r="AF200" s="48"/>
      <c r="AG200" s="48"/>
      <c r="AH200" s="48"/>
      <c r="AI200" s="48"/>
      <c r="AJ200" s="44"/>
      <c r="AK200" s="44"/>
      <c r="AL200" s="44"/>
    </row>
    <row r="201" spans="1:38" ht="27.6" x14ac:dyDescent="0.25">
      <c r="A201" s="94"/>
      <c r="B201" s="265" t="s">
        <v>1046</v>
      </c>
      <c r="C201" s="266" t="s">
        <v>161</v>
      </c>
      <c r="D201" s="265" t="s">
        <v>40</v>
      </c>
      <c r="E201" s="265" t="s">
        <v>1047</v>
      </c>
      <c r="F201" s="267" t="s">
        <v>44</v>
      </c>
      <c r="G201" s="277">
        <v>5</v>
      </c>
      <c r="H201" s="268">
        <f t="shared" si="246"/>
        <v>60.06</v>
      </c>
      <c r="I201" s="287">
        <v>3.46</v>
      </c>
      <c r="J201" s="268">
        <f t="shared" si="167"/>
        <v>4.3899999999999997</v>
      </c>
      <c r="K201" s="292">
        <v>56.6</v>
      </c>
      <c r="L201" s="268">
        <f t="shared" si="247"/>
        <v>71.81</v>
      </c>
      <c r="M201" s="268">
        <f t="shared" si="264"/>
        <v>76.2</v>
      </c>
      <c r="N201" s="268">
        <f t="shared" si="265"/>
        <v>21.95</v>
      </c>
      <c r="O201" s="268">
        <f t="shared" si="266"/>
        <v>359.05</v>
      </c>
      <c r="P201" s="268">
        <f t="shared" si="267"/>
        <v>381</v>
      </c>
      <c r="Q201" s="269">
        <f t="shared" si="173"/>
        <v>2.0000000000000001E-4</v>
      </c>
      <c r="R201" s="44"/>
      <c r="S201" s="49">
        <f t="shared" si="165"/>
        <v>300.3</v>
      </c>
      <c r="T201" s="126"/>
      <c r="U201" s="48"/>
      <c r="V201" s="48"/>
      <c r="W201" s="48"/>
      <c r="X201" s="48"/>
      <c r="Y201" s="48"/>
      <c r="Z201" s="48"/>
      <c r="AA201" s="48"/>
      <c r="AB201" s="48"/>
      <c r="AC201" s="48"/>
      <c r="AD201" s="48"/>
      <c r="AE201" s="48"/>
      <c r="AF201" s="48"/>
      <c r="AG201" s="48"/>
      <c r="AH201" s="48"/>
      <c r="AI201" s="48"/>
      <c r="AJ201" s="44"/>
      <c r="AK201" s="44"/>
      <c r="AL201" s="44"/>
    </row>
    <row r="202" spans="1:38" x14ac:dyDescent="0.25">
      <c r="A202" s="94"/>
      <c r="B202" s="265" t="s">
        <v>1048</v>
      </c>
      <c r="C202" s="266" t="s">
        <v>579</v>
      </c>
      <c r="D202" s="265" t="s">
        <v>199</v>
      </c>
      <c r="E202" s="265" t="s">
        <v>761</v>
      </c>
      <c r="F202" s="267" t="s">
        <v>168</v>
      </c>
      <c r="G202" s="277">
        <v>2</v>
      </c>
      <c r="H202" s="268">
        <v>344.18</v>
      </c>
      <c r="I202" s="287">
        <f>9.29+8.12</f>
        <v>17.41</v>
      </c>
      <c r="J202" s="268">
        <f t="shared" si="167"/>
        <v>22.09</v>
      </c>
      <c r="K202" s="292">
        <f t="shared" ref="K202:K207" si="268">H202-I202</f>
        <v>326.77</v>
      </c>
      <c r="L202" s="268">
        <f t="shared" si="247"/>
        <v>414.57</v>
      </c>
      <c r="M202" s="268">
        <f t="shared" si="264"/>
        <v>436.66</v>
      </c>
      <c r="N202" s="268">
        <f t="shared" si="265"/>
        <v>44.18</v>
      </c>
      <c r="O202" s="268">
        <f t="shared" si="266"/>
        <v>829.14</v>
      </c>
      <c r="P202" s="268">
        <f t="shared" si="267"/>
        <v>873.32</v>
      </c>
      <c r="Q202" s="269">
        <f t="shared" si="173"/>
        <v>2.9999999999999997E-4</v>
      </c>
      <c r="R202" s="44"/>
      <c r="S202" s="49">
        <f t="shared" si="165"/>
        <v>688.36</v>
      </c>
      <c r="T202" s="85"/>
      <c r="U202" s="48"/>
      <c r="V202" s="48"/>
      <c r="W202" s="48"/>
      <c r="X202" s="48"/>
      <c r="Y202" s="48"/>
      <c r="Z202" s="48"/>
      <c r="AA202" s="48"/>
      <c r="AB202" s="48"/>
      <c r="AC202" s="48"/>
      <c r="AD202" s="48"/>
      <c r="AE202" s="48"/>
      <c r="AF202" s="48"/>
      <c r="AG202" s="48"/>
      <c r="AH202" s="48"/>
      <c r="AI202" s="48"/>
      <c r="AJ202" s="44"/>
      <c r="AK202" s="44"/>
      <c r="AL202" s="44"/>
    </row>
    <row r="203" spans="1:38" x14ac:dyDescent="0.25">
      <c r="A203" s="94"/>
      <c r="B203" s="265" t="s">
        <v>1049</v>
      </c>
      <c r="C203" s="266" t="s">
        <v>840</v>
      </c>
      <c r="D203" s="265" t="s">
        <v>199</v>
      </c>
      <c r="E203" s="265" t="s">
        <v>841</v>
      </c>
      <c r="F203" s="267" t="s">
        <v>44</v>
      </c>
      <c r="G203" s="277">
        <v>8</v>
      </c>
      <c r="H203" s="268">
        <v>360.65</v>
      </c>
      <c r="I203" s="287">
        <f>26+37.91</f>
        <v>63.91</v>
      </c>
      <c r="J203" s="268">
        <f t="shared" si="167"/>
        <v>81.08</v>
      </c>
      <c r="K203" s="292">
        <f t="shared" si="268"/>
        <v>296.74</v>
      </c>
      <c r="L203" s="268">
        <f t="shared" si="247"/>
        <v>376.47</v>
      </c>
      <c r="M203" s="268">
        <f t="shared" si="264"/>
        <v>457.55</v>
      </c>
      <c r="N203" s="268">
        <f t="shared" si="265"/>
        <v>648.64</v>
      </c>
      <c r="O203" s="268">
        <f t="shared" si="266"/>
        <v>3011.76</v>
      </c>
      <c r="P203" s="268">
        <f t="shared" si="267"/>
        <v>3660.4</v>
      </c>
      <c r="Q203" s="269">
        <f t="shared" si="173"/>
        <v>1.4E-3</v>
      </c>
      <c r="R203" s="44"/>
      <c r="S203" s="49">
        <f t="shared" si="165"/>
        <v>2885.2</v>
      </c>
      <c r="T203" s="85"/>
      <c r="U203" s="48"/>
      <c r="V203" s="48"/>
      <c r="W203" s="48"/>
      <c r="X203" s="48"/>
      <c r="Y203" s="48"/>
      <c r="Z203" s="48"/>
      <c r="AA203" s="48"/>
      <c r="AB203" s="48"/>
      <c r="AC203" s="48"/>
      <c r="AD203" s="48"/>
      <c r="AE203" s="48"/>
      <c r="AF203" s="48"/>
      <c r="AG203" s="48"/>
      <c r="AH203" s="48"/>
      <c r="AI203" s="48"/>
      <c r="AJ203" s="44"/>
      <c r="AK203" s="44"/>
      <c r="AL203" s="44"/>
    </row>
    <row r="204" spans="1:38" x14ac:dyDescent="0.25">
      <c r="A204" s="94"/>
      <c r="B204" s="265" t="s">
        <v>1050</v>
      </c>
      <c r="C204" s="266" t="s">
        <v>257</v>
      </c>
      <c r="D204" s="265" t="s">
        <v>146</v>
      </c>
      <c r="E204" s="265" t="s">
        <v>258</v>
      </c>
      <c r="F204" s="267" t="s">
        <v>168</v>
      </c>
      <c r="G204" s="277">
        <v>27</v>
      </c>
      <c r="H204" s="268">
        <v>274.55</v>
      </c>
      <c r="I204" s="287">
        <f>1.92+1.92+9.57+6.83</f>
        <v>20.239999999999998</v>
      </c>
      <c r="J204" s="268">
        <f t="shared" si="167"/>
        <v>25.68</v>
      </c>
      <c r="K204" s="292">
        <f t="shared" si="268"/>
        <v>254.31</v>
      </c>
      <c r="L204" s="268">
        <f t="shared" si="247"/>
        <v>322.64</v>
      </c>
      <c r="M204" s="268">
        <f t="shared" si="264"/>
        <v>348.32</v>
      </c>
      <c r="N204" s="268">
        <f t="shared" si="265"/>
        <v>693.36</v>
      </c>
      <c r="O204" s="268">
        <f t="shared" si="266"/>
        <v>8711.2800000000007</v>
      </c>
      <c r="P204" s="268">
        <f t="shared" si="267"/>
        <v>9404.64</v>
      </c>
      <c r="Q204" s="269">
        <f t="shared" si="173"/>
        <v>3.7000000000000002E-3</v>
      </c>
      <c r="R204" s="44"/>
      <c r="S204" s="49">
        <f t="shared" si="165"/>
        <v>7412.85</v>
      </c>
      <c r="T204" s="126"/>
      <c r="U204" s="48"/>
      <c r="V204" s="48"/>
      <c r="W204" s="48"/>
      <c r="X204" s="48"/>
      <c r="Y204" s="48"/>
      <c r="Z204" s="48"/>
      <c r="AA204" s="48"/>
      <c r="AB204" s="48"/>
      <c r="AC204" s="48"/>
      <c r="AD204" s="48"/>
      <c r="AE204" s="48"/>
      <c r="AF204" s="48"/>
      <c r="AG204" s="48"/>
      <c r="AH204" s="48"/>
      <c r="AI204" s="48"/>
      <c r="AJ204" s="44"/>
      <c r="AK204" s="44"/>
      <c r="AL204" s="44"/>
    </row>
    <row r="205" spans="1:38" x14ac:dyDescent="0.25">
      <c r="A205" s="94"/>
      <c r="B205" s="265" t="s">
        <v>1051</v>
      </c>
      <c r="C205" s="266" t="s">
        <v>259</v>
      </c>
      <c r="D205" s="265" t="s">
        <v>146</v>
      </c>
      <c r="E205" s="265" t="s">
        <v>260</v>
      </c>
      <c r="F205" s="267" t="s">
        <v>168</v>
      </c>
      <c r="G205" s="277">
        <v>7</v>
      </c>
      <c r="H205" s="268">
        <v>812.99</v>
      </c>
      <c r="I205" s="287">
        <f>1.92+9.57</f>
        <v>11.49</v>
      </c>
      <c r="J205" s="268">
        <f t="shared" si="167"/>
        <v>14.58</v>
      </c>
      <c r="K205" s="292">
        <f t="shared" si="268"/>
        <v>801.5</v>
      </c>
      <c r="L205" s="268">
        <f t="shared" si="247"/>
        <v>1016.86</v>
      </c>
      <c r="M205" s="268">
        <f t="shared" si="264"/>
        <v>1031.44</v>
      </c>
      <c r="N205" s="268">
        <f t="shared" si="265"/>
        <v>102.06</v>
      </c>
      <c r="O205" s="268">
        <f t="shared" si="266"/>
        <v>7118.02</v>
      </c>
      <c r="P205" s="268">
        <f t="shared" si="267"/>
        <v>7220.08</v>
      </c>
      <c r="Q205" s="269">
        <f t="shared" si="173"/>
        <v>2.8999999999999998E-3</v>
      </c>
      <c r="R205" s="44"/>
      <c r="S205" s="49">
        <f t="shared" si="165"/>
        <v>5690.93</v>
      </c>
      <c r="T205" s="126"/>
      <c r="U205" s="48"/>
      <c r="V205" s="48"/>
      <c r="W205" s="48"/>
      <c r="X205" s="48"/>
      <c r="Y205" s="48"/>
      <c r="Z205" s="48"/>
      <c r="AA205" s="48"/>
      <c r="AB205" s="48"/>
      <c r="AC205" s="48"/>
      <c r="AD205" s="48"/>
      <c r="AE205" s="48"/>
      <c r="AF205" s="48"/>
      <c r="AG205" s="48"/>
      <c r="AH205" s="48"/>
      <c r="AI205" s="48"/>
      <c r="AJ205" s="44"/>
      <c r="AK205" s="44"/>
      <c r="AL205" s="44"/>
    </row>
    <row r="206" spans="1:38" x14ac:dyDescent="0.25">
      <c r="A206" s="94"/>
      <c r="B206" s="265" t="s">
        <v>1052</v>
      </c>
      <c r="C206" s="266" t="s">
        <v>264</v>
      </c>
      <c r="D206" s="265" t="s">
        <v>146</v>
      </c>
      <c r="E206" s="265" t="s">
        <v>265</v>
      </c>
      <c r="F206" s="267" t="s">
        <v>168</v>
      </c>
      <c r="G206" s="277">
        <v>10</v>
      </c>
      <c r="H206" s="268">
        <v>221.78</v>
      </c>
      <c r="I206" s="287">
        <f>1.14+5.74</f>
        <v>6.88</v>
      </c>
      <c r="J206" s="268">
        <f t="shared" si="167"/>
        <v>8.73</v>
      </c>
      <c r="K206" s="292">
        <f t="shared" si="268"/>
        <v>214.9</v>
      </c>
      <c r="L206" s="268">
        <f t="shared" si="247"/>
        <v>272.64</v>
      </c>
      <c r="M206" s="268">
        <f t="shared" si="264"/>
        <v>281.37</v>
      </c>
      <c r="N206" s="268">
        <f t="shared" si="265"/>
        <v>87.3</v>
      </c>
      <c r="O206" s="268">
        <f t="shared" si="266"/>
        <v>2726.4</v>
      </c>
      <c r="P206" s="268">
        <f t="shared" si="267"/>
        <v>2813.7</v>
      </c>
      <c r="Q206" s="269">
        <f t="shared" si="173"/>
        <v>1.1000000000000001E-3</v>
      </c>
      <c r="R206" s="44"/>
      <c r="S206" s="49">
        <f t="shared" si="165"/>
        <v>2217.8000000000002</v>
      </c>
      <c r="T206" s="126"/>
      <c r="U206" s="48"/>
      <c r="V206" s="48"/>
      <c r="W206" s="48"/>
      <c r="X206" s="48"/>
      <c r="Y206" s="48"/>
      <c r="Z206" s="48"/>
      <c r="AA206" s="48"/>
      <c r="AB206" s="48"/>
      <c r="AC206" s="48"/>
      <c r="AD206" s="48"/>
      <c r="AE206" s="48"/>
      <c r="AF206" s="48"/>
      <c r="AG206" s="48"/>
      <c r="AH206" s="48"/>
      <c r="AI206" s="48"/>
      <c r="AJ206" s="44"/>
      <c r="AK206" s="44"/>
      <c r="AL206" s="44"/>
    </row>
    <row r="207" spans="1:38" x14ac:dyDescent="0.25">
      <c r="A207" s="94"/>
      <c r="B207" s="265" t="s">
        <v>1053</v>
      </c>
      <c r="C207" s="266" t="s">
        <v>266</v>
      </c>
      <c r="D207" s="265" t="s">
        <v>146</v>
      </c>
      <c r="E207" s="265" t="s">
        <v>267</v>
      </c>
      <c r="F207" s="267" t="s">
        <v>168</v>
      </c>
      <c r="G207" s="277">
        <v>10</v>
      </c>
      <c r="H207" s="268">
        <v>111.78</v>
      </c>
      <c r="I207" s="287">
        <f>1.14+5.74</f>
        <v>6.88</v>
      </c>
      <c r="J207" s="268">
        <f t="shared" si="167"/>
        <v>8.73</v>
      </c>
      <c r="K207" s="292">
        <f t="shared" si="268"/>
        <v>104.9</v>
      </c>
      <c r="L207" s="268">
        <f t="shared" si="247"/>
        <v>133.09</v>
      </c>
      <c r="M207" s="268">
        <f t="shared" si="264"/>
        <v>141.82</v>
      </c>
      <c r="N207" s="268">
        <f t="shared" si="265"/>
        <v>87.3</v>
      </c>
      <c r="O207" s="268">
        <f t="shared" si="266"/>
        <v>1330.9</v>
      </c>
      <c r="P207" s="268">
        <f t="shared" si="267"/>
        <v>1418.2</v>
      </c>
      <c r="Q207" s="269">
        <f t="shared" si="173"/>
        <v>5.9999999999999995E-4</v>
      </c>
      <c r="R207" s="44"/>
      <c r="S207" s="49">
        <f t="shared" si="165"/>
        <v>1117.8</v>
      </c>
      <c r="T207" s="126"/>
      <c r="U207" s="48"/>
      <c r="V207" s="48"/>
      <c r="W207" s="48"/>
      <c r="X207" s="48"/>
      <c r="Y207" s="48"/>
      <c r="Z207" s="48"/>
      <c r="AA207" s="48"/>
      <c r="AB207" s="48"/>
      <c r="AC207" s="48"/>
      <c r="AD207" s="48"/>
      <c r="AE207" s="48"/>
      <c r="AF207" s="48"/>
      <c r="AG207" s="48"/>
      <c r="AH207" s="48"/>
      <c r="AI207" s="48"/>
      <c r="AJ207" s="44"/>
      <c r="AK207" s="44"/>
      <c r="AL207" s="44"/>
    </row>
    <row r="208" spans="1:38" ht="27.6" x14ac:dyDescent="0.25">
      <c r="A208" s="94"/>
      <c r="B208" s="265" t="s">
        <v>1054</v>
      </c>
      <c r="C208" s="266" t="s">
        <v>268</v>
      </c>
      <c r="D208" s="265" t="s">
        <v>40</v>
      </c>
      <c r="E208" s="265" t="s">
        <v>269</v>
      </c>
      <c r="F208" s="267" t="s">
        <v>44</v>
      </c>
      <c r="G208" s="277">
        <v>5</v>
      </c>
      <c r="H208" s="268">
        <f t="shared" si="246"/>
        <v>354.35</v>
      </c>
      <c r="I208" s="287">
        <v>21.64</v>
      </c>
      <c r="J208" s="268">
        <f t="shared" si="167"/>
        <v>27.45</v>
      </c>
      <c r="K208" s="292">
        <v>332.71</v>
      </c>
      <c r="L208" s="268">
        <f t="shared" si="247"/>
        <v>422.11</v>
      </c>
      <c r="M208" s="268">
        <f t="shared" si="264"/>
        <v>449.56</v>
      </c>
      <c r="N208" s="268">
        <f t="shared" si="265"/>
        <v>137.25</v>
      </c>
      <c r="O208" s="268">
        <f t="shared" si="266"/>
        <v>2110.5500000000002</v>
      </c>
      <c r="P208" s="268">
        <f t="shared" si="267"/>
        <v>2247.8000000000002</v>
      </c>
      <c r="Q208" s="269">
        <f t="shared" si="173"/>
        <v>8.9999999999999998E-4</v>
      </c>
      <c r="R208" s="44"/>
      <c r="S208" s="49">
        <f t="shared" si="165"/>
        <v>1771.75</v>
      </c>
      <c r="T208" s="126"/>
      <c r="U208" s="48"/>
      <c r="V208" s="48"/>
      <c r="W208" s="48"/>
      <c r="X208" s="48"/>
      <c r="Y208" s="48"/>
      <c r="Z208" s="48"/>
      <c r="AA208" s="48"/>
      <c r="AB208" s="48"/>
      <c r="AC208" s="48"/>
      <c r="AD208" s="48"/>
      <c r="AE208" s="48"/>
      <c r="AF208" s="48"/>
      <c r="AG208" s="48"/>
      <c r="AH208" s="48"/>
      <c r="AI208" s="48"/>
      <c r="AJ208" s="44"/>
      <c r="AK208" s="44"/>
      <c r="AL208" s="44"/>
    </row>
    <row r="209" spans="1:38" x14ac:dyDescent="0.25">
      <c r="A209" s="94"/>
      <c r="B209" s="265" t="s">
        <v>1055</v>
      </c>
      <c r="C209" s="266" t="s">
        <v>1469</v>
      </c>
      <c r="D209" s="265" t="s">
        <v>584</v>
      </c>
      <c r="E209" s="265" t="s">
        <v>1470</v>
      </c>
      <c r="F209" s="267" t="s">
        <v>585</v>
      </c>
      <c r="G209" s="277">
        <v>1</v>
      </c>
      <c r="H209" s="268">
        <v>153.41999999999999</v>
      </c>
      <c r="I209" s="287">
        <v>33.58</v>
      </c>
      <c r="J209" s="268">
        <f t="shared" si="167"/>
        <v>42.6</v>
      </c>
      <c r="K209" s="292">
        <f>H209-I209</f>
        <v>119.84</v>
      </c>
      <c r="L209" s="268">
        <f t="shared" si="247"/>
        <v>152.04</v>
      </c>
      <c r="M209" s="268">
        <f t="shared" si="264"/>
        <v>194.64</v>
      </c>
      <c r="N209" s="268">
        <f t="shared" si="265"/>
        <v>42.6</v>
      </c>
      <c r="O209" s="268">
        <f t="shared" si="266"/>
        <v>152.04</v>
      </c>
      <c r="P209" s="268">
        <f t="shared" si="267"/>
        <v>194.64</v>
      </c>
      <c r="Q209" s="269">
        <f t="shared" si="173"/>
        <v>1E-4</v>
      </c>
      <c r="R209" s="44"/>
      <c r="S209" s="49">
        <f t="shared" si="165"/>
        <v>153.41999999999999</v>
      </c>
      <c r="T209" s="126"/>
      <c r="U209" s="48"/>
      <c r="V209" s="48"/>
      <c r="W209" s="48"/>
      <c r="X209" s="48"/>
      <c r="Y209" s="48"/>
      <c r="Z209" s="48"/>
      <c r="AA209" s="48"/>
      <c r="AB209" s="48"/>
      <c r="AC209" s="48"/>
      <c r="AD209" s="48"/>
      <c r="AE209" s="48"/>
      <c r="AF209" s="48"/>
      <c r="AG209" s="48"/>
      <c r="AH209" s="48"/>
      <c r="AI209" s="48"/>
      <c r="AJ209" s="44"/>
      <c r="AK209" s="44"/>
      <c r="AL209" s="44"/>
    </row>
    <row r="210" spans="1:38" ht="27.6" x14ac:dyDescent="0.25">
      <c r="A210" s="94"/>
      <c r="B210" s="265" t="s">
        <v>1056</v>
      </c>
      <c r="C210" s="266" t="s">
        <v>1471</v>
      </c>
      <c r="D210" s="265" t="s">
        <v>40</v>
      </c>
      <c r="E210" s="265" t="s">
        <v>1472</v>
      </c>
      <c r="F210" s="267" t="s">
        <v>44</v>
      </c>
      <c r="G210" s="277">
        <v>1</v>
      </c>
      <c r="H210" s="268">
        <f t="shared" si="246"/>
        <v>1094.6199999999999</v>
      </c>
      <c r="I210" s="287">
        <v>28.86</v>
      </c>
      <c r="J210" s="268">
        <f t="shared" si="167"/>
        <v>36.61</v>
      </c>
      <c r="K210" s="292">
        <v>1065.76</v>
      </c>
      <c r="L210" s="268">
        <f t="shared" si="247"/>
        <v>1352.13</v>
      </c>
      <c r="M210" s="268">
        <f t="shared" si="264"/>
        <v>1388.74</v>
      </c>
      <c r="N210" s="268">
        <f t="shared" si="265"/>
        <v>36.61</v>
      </c>
      <c r="O210" s="268">
        <f t="shared" si="266"/>
        <v>1352.13</v>
      </c>
      <c r="P210" s="268">
        <f t="shared" si="267"/>
        <v>1388.74</v>
      </c>
      <c r="Q210" s="269">
        <f t="shared" si="173"/>
        <v>5.0000000000000001E-4</v>
      </c>
      <c r="R210" s="44"/>
      <c r="S210" s="49">
        <f t="shared" si="165"/>
        <v>1094.6199999999999</v>
      </c>
      <c r="T210" s="126"/>
      <c r="U210" s="48"/>
      <c r="V210" s="48"/>
      <c r="W210" s="48"/>
      <c r="X210" s="48"/>
      <c r="Y210" s="48"/>
      <c r="Z210" s="48"/>
      <c r="AA210" s="48"/>
      <c r="AB210" s="48"/>
      <c r="AC210" s="48"/>
      <c r="AD210" s="48"/>
      <c r="AE210" s="48"/>
      <c r="AF210" s="48"/>
      <c r="AG210" s="48"/>
      <c r="AH210" s="48"/>
      <c r="AI210" s="48"/>
      <c r="AJ210" s="44"/>
      <c r="AK210" s="44"/>
      <c r="AL210" s="44"/>
    </row>
    <row r="211" spans="1:38" x14ac:dyDescent="0.25">
      <c r="A211" s="94"/>
      <c r="B211" s="265" t="s">
        <v>1057</v>
      </c>
      <c r="C211" s="266" t="s">
        <v>580</v>
      </c>
      <c r="D211" s="265" t="s">
        <v>100</v>
      </c>
      <c r="E211" s="265" t="s">
        <v>581</v>
      </c>
      <c r="F211" s="267" t="s">
        <v>44</v>
      </c>
      <c r="G211" s="277">
        <v>21</v>
      </c>
      <c r="H211" s="268">
        <f>CPUS!L106</f>
        <v>88.2</v>
      </c>
      <c r="I211" s="287">
        <f>CPUS!H113</f>
        <v>36.1</v>
      </c>
      <c r="J211" s="268">
        <f t="shared" si="167"/>
        <v>45.8</v>
      </c>
      <c r="K211" s="292">
        <f>H211-I211</f>
        <v>52.1</v>
      </c>
      <c r="L211" s="268">
        <f t="shared" si="247"/>
        <v>66.099999999999994</v>
      </c>
      <c r="M211" s="268">
        <f t="shared" si="264"/>
        <v>111.9</v>
      </c>
      <c r="N211" s="268">
        <f t="shared" si="265"/>
        <v>961.8</v>
      </c>
      <c r="O211" s="268">
        <f t="shared" si="266"/>
        <v>1388.1</v>
      </c>
      <c r="P211" s="268">
        <f t="shared" si="267"/>
        <v>2349.9</v>
      </c>
      <c r="Q211" s="269">
        <f t="shared" si="173"/>
        <v>8.9999999999999998E-4</v>
      </c>
      <c r="R211" s="44"/>
      <c r="S211" s="49">
        <f t="shared" si="165"/>
        <v>1852.2</v>
      </c>
      <c r="T211" s="126"/>
      <c r="U211" s="48"/>
      <c r="V211" s="48"/>
      <c r="W211" s="48"/>
      <c r="X211" s="48"/>
      <c r="Y211" s="48"/>
      <c r="Z211" s="48"/>
      <c r="AA211" s="48"/>
      <c r="AB211" s="48"/>
      <c r="AC211" s="48"/>
      <c r="AD211" s="48"/>
      <c r="AE211" s="48"/>
      <c r="AF211" s="48"/>
      <c r="AG211" s="48"/>
      <c r="AH211" s="48"/>
      <c r="AI211" s="48"/>
      <c r="AJ211" s="44"/>
      <c r="AK211" s="44"/>
      <c r="AL211" s="44"/>
    </row>
    <row r="212" spans="1:38" ht="41.4" x14ac:dyDescent="0.25">
      <c r="A212" s="94"/>
      <c r="B212" s="265" t="s">
        <v>1473</v>
      </c>
      <c r="C212" s="266" t="s">
        <v>867</v>
      </c>
      <c r="D212" s="265" t="s">
        <v>551</v>
      </c>
      <c r="E212" s="265" t="s">
        <v>1058</v>
      </c>
      <c r="F212" s="267" t="s">
        <v>44</v>
      </c>
      <c r="G212" s="277">
        <v>6</v>
      </c>
      <c r="H212" s="268">
        <v>449.47</v>
      </c>
      <c r="I212" s="287">
        <f>12.463+9.0125</f>
        <v>21.48</v>
      </c>
      <c r="J212" s="268">
        <f t="shared" si="167"/>
        <v>27.25</v>
      </c>
      <c r="K212" s="292">
        <f>H212-I212</f>
        <v>427.99</v>
      </c>
      <c r="L212" s="268">
        <f t="shared" si="247"/>
        <v>542.99</v>
      </c>
      <c r="M212" s="268">
        <f t="shared" si="264"/>
        <v>570.24</v>
      </c>
      <c r="N212" s="268">
        <f t="shared" si="265"/>
        <v>163.5</v>
      </c>
      <c r="O212" s="268">
        <f t="shared" si="266"/>
        <v>3257.94</v>
      </c>
      <c r="P212" s="268">
        <f t="shared" si="267"/>
        <v>3421.44</v>
      </c>
      <c r="Q212" s="269">
        <f t="shared" si="173"/>
        <v>1.4E-3</v>
      </c>
      <c r="R212" s="44"/>
      <c r="S212" s="49">
        <f t="shared" si="165"/>
        <v>2696.82</v>
      </c>
      <c r="T212" s="126"/>
      <c r="U212" s="48"/>
      <c r="V212" s="48"/>
      <c r="W212" s="48"/>
      <c r="X212" s="48"/>
      <c r="Y212" s="48"/>
      <c r="Z212" s="48"/>
      <c r="AA212" s="48"/>
      <c r="AB212" s="48"/>
      <c r="AC212" s="48"/>
      <c r="AD212" s="48"/>
      <c r="AE212" s="48"/>
      <c r="AF212" s="48"/>
      <c r="AG212" s="48"/>
      <c r="AH212" s="48"/>
      <c r="AI212" s="48"/>
      <c r="AJ212" s="44"/>
      <c r="AK212" s="44"/>
      <c r="AL212" s="44"/>
    </row>
    <row r="213" spans="1:38" ht="15" customHeight="1" x14ac:dyDescent="0.25">
      <c r="A213" s="94"/>
      <c r="B213" s="261">
        <v>15</v>
      </c>
      <c r="C213" s="261"/>
      <c r="D213" s="261"/>
      <c r="E213" s="261" t="s">
        <v>586</v>
      </c>
      <c r="F213" s="261"/>
      <c r="G213" s="276"/>
      <c r="H213" s="262"/>
      <c r="I213" s="286"/>
      <c r="J213" s="261"/>
      <c r="K213" s="291"/>
      <c r="L213" s="261"/>
      <c r="M213" s="261"/>
      <c r="N213" s="261"/>
      <c r="O213" s="261"/>
      <c r="P213" s="263"/>
      <c r="Q213" s="263"/>
      <c r="R213" s="44"/>
      <c r="S213" s="49">
        <f t="shared" ref="S213:S276" si="269">G213*H213</f>
        <v>0</v>
      </c>
      <c r="T213" s="126"/>
      <c r="U213" s="48"/>
      <c r="V213" s="48"/>
      <c r="W213" s="48"/>
      <c r="X213" s="48"/>
      <c r="Y213" s="48"/>
      <c r="Z213" s="48"/>
      <c r="AA213" s="48"/>
      <c r="AB213" s="48"/>
      <c r="AC213" s="48"/>
      <c r="AD213" s="48"/>
      <c r="AE213" s="48"/>
      <c r="AF213" s="48"/>
      <c r="AG213" s="48"/>
      <c r="AH213" s="48"/>
      <c r="AI213" s="48"/>
      <c r="AJ213" s="44"/>
      <c r="AK213" s="44"/>
      <c r="AL213" s="44"/>
    </row>
    <row r="214" spans="1:38" x14ac:dyDescent="0.25">
      <c r="A214" s="94"/>
      <c r="B214" s="261" t="s">
        <v>263</v>
      </c>
      <c r="C214" s="261"/>
      <c r="D214" s="261"/>
      <c r="E214" s="261" t="s">
        <v>587</v>
      </c>
      <c r="F214" s="261"/>
      <c r="G214" s="276"/>
      <c r="H214" s="262"/>
      <c r="I214" s="286"/>
      <c r="J214" s="261"/>
      <c r="K214" s="291"/>
      <c r="L214" s="261"/>
      <c r="M214" s="261"/>
      <c r="N214" s="261"/>
      <c r="O214" s="261"/>
      <c r="P214" s="263"/>
      <c r="Q214" s="263"/>
      <c r="R214" s="44"/>
      <c r="S214" s="49">
        <f t="shared" si="269"/>
        <v>0</v>
      </c>
      <c r="T214" s="126"/>
      <c r="U214" s="48"/>
      <c r="V214" s="48"/>
      <c r="W214" s="48"/>
      <c r="X214" s="48"/>
      <c r="Y214" s="48"/>
      <c r="Z214" s="48"/>
      <c r="AA214" s="48"/>
      <c r="AB214" s="48"/>
      <c r="AC214" s="48"/>
      <c r="AD214" s="48"/>
      <c r="AE214" s="48"/>
      <c r="AF214" s="48"/>
      <c r="AG214" s="48"/>
      <c r="AH214" s="48"/>
      <c r="AI214" s="48"/>
      <c r="AJ214" s="44"/>
      <c r="AK214" s="44"/>
      <c r="AL214" s="44"/>
    </row>
    <row r="215" spans="1:38" ht="27.6" customHeight="1" x14ac:dyDescent="0.25">
      <c r="A215" s="94"/>
      <c r="B215" s="265" t="s">
        <v>578</v>
      </c>
      <c r="C215" s="266" t="s">
        <v>848</v>
      </c>
      <c r="D215" s="265" t="s">
        <v>51</v>
      </c>
      <c r="E215" s="265" t="s">
        <v>849</v>
      </c>
      <c r="F215" s="267" t="s">
        <v>44</v>
      </c>
      <c r="G215" s="277">
        <v>1</v>
      </c>
      <c r="H215" s="268">
        <v>73.36</v>
      </c>
      <c r="I215" s="287">
        <f>1.42+1.8</f>
        <v>3.22</v>
      </c>
      <c r="J215" s="268">
        <f t="shared" ref="J215:J276" si="270">I215*(1+$M$9)</f>
        <v>4.09</v>
      </c>
      <c r="K215" s="292">
        <f>H215-I215</f>
        <v>70.14</v>
      </c>
      <c r="L215" s="268">
        <f t="shared" ref="L215:L278" si="271">K215*(1+$M$9)</f>
        <v>88.99</v>
      </c>
      <c r="M215" s="268">
        <f t="shared" ref="M215" si="272">L215+J215</f>
        <v>93.08</v>
      </c>
      <c r="N215" s="268">
        <f t="shared" ref="N215" si="273">J215*G215</f>
        <v>4.09</v>
      </c>
      <c r="O215" s="268">
        <f t="shared" ref="O215" si="274">L215*G215</f>
        <v>88.99</v>
      </c>
      <c r="P215" s="268">
        <f t="shared" ref="P215" si="275">O215+N215</f>
        <v>93.08</v>
      </c>
      <c r="Q215" s="269">
        <f t="shared" ref="Q215:Q276" si="276">P215/$O$485</f>
        <v>0</v>
      </c>
      <c r="R215" s="44"/>
      <c r="S215" s="49">
        <f t="shared" si="269"/>
        <v>73.36</v>
      </c>
      <c r="T215" s="126"/>
      <c r="U215" s="48"/>
      <c r="V215" s="48"/>
      <c r="W215" s="48"/>
      <c r="X215" s="48"/>
      <c r="Y215" s="48"/>
      <c r="Z215" s="48"/>
      <c r="AA215" s="48"/>
      <c r="AB215" s="48"/>
      <c r="AC215" s="48"/>
      <c r="AD215" s="48"/>
      <c r="AE215" s="48"/>
      <c r="AF215" s="48"/>
      <c r="AG215" s="48"/>
      <c r="AH215" s="48"/>
      <c r="AI215" s="48"/>
      <c r="AJ215" s="44"/>
      <c r="AK215" s="44"/>
      <c r="AL215" s="44"/>
    </row>
    <row r="216" spans="1:38" ht="27.6" customHeight="1" x14ac:dyDescent="0.25">
      <c r="A216" s="94"/>
      <c r="B216" s="265" t="s">
        <v>1198</v>
      </c>
      <c r="C216" s="266" t="s">
        <v>591</v>
      </c>
      <c r="D216" s="265" t="s">
        <v>40</v>
      </c>
      <c r="E216" s="265" t="s">
        <v>592</v>
      </c>
      <c r="F216" s="267" t="s">
        <v>44</v>
      </c>
      <c r="G216" s="277">
        <v>1</v>
      </c>
      <c r="H216" s="268">
        <f t="shared" ref="H216:H278" si="277">I216+K216</f>
        <v>69.55</v>
      </c>
      <c r="I216" s="287">
        <v>8.7100000000000009</v>
      </c>
      <c r="J216" s="268">
        <f t="shared" si="270"/>
        <v>11.05</v>
      </c>
      <c r="K216" s="292">
        <v>60.84</v>
      </c>
      <c r="L216" s="268">
        <f t="shared" si="271"/>
        <v>77.19</v>
      </c>
      <c r="M216" s="268">
        <f t="shared" ref="M216:M256" si="278">L216+J216</f>
        <v>88.24</v>
      </c>
      <c r="N216" s="268">
        <f t="shared" ref="N216:N256" si="279">J216*G216</f>
        <v>11.05</v>
      </c>
      <c r="O216" s="268">
        <f t="shared" ref="O216:O256" si="280">L216*G216</f>
        <v>77.19</v>
      </c>
      <c r="P216" s="268">
        <f t="shared" ref="P216:P256" si="281">O216+N216</f>
        <v>88.24</v>
      </c>
      <c r="Q216" s="269">
        <f t="shared" si="276"/>
        <v>0</v>
      </c>
      <c r="R216" s="44"/>
      <c r="S216" s="49">
        <f t="shared" si="269"/>
        <v>69.55</v>
      </c>
      <c r="T216" s="126"/>
      <c r="U216" s="48"/>
      <c r="V216" s="48"/>
      <c r="W216" s="48"/>
      <c r="X216" s="48"/>
      <c r="Y216" s="48"/>
      <c r="Z216" s="48"/>
      <c r="AA216" s="48"/>
      <c r="AB216" s="48"/>
      <c r="AC216" s="48"/>
      <c r="AD216" s="48"/>
      <c r="AE216" s="48"/>
      <c r="AF216" s="48"/>
      <c r="AG216" s="48"/>
      <c r="AH216" s="48"/>
      <c r="AI216" s="48"/>
      <c r="AJ216" s="44"/>
      <c r="AK216" s="44"/>
      <c r="AL216" s="44"/>
    </row>
    <row r="217" spans="1:38" ht="27.6" x14ac:dyDescent="0.25">
      <c r="A217" s="94"/>
      <c r="B217" s="265" t="s">
        <v>1199</v>
      </c>
      <c r="C217" s="266">
        <v>94681</v>
      </c>
      <c r="D217" s="265" t="s">
        <v>40</v>
      </c>
      <c r="E217" s="265" t="s">
        <v>598</v>
      </c>
      <c r="F217" s="267" t="s">
        <v>44</v>
      </c>
      <c r="G217" s="277">
        <v>1</v>
      </c>
      <c r="H217" s="268">
        <f t="shared" si="277"/>
        <v>43.28</v>
      </c>
      <c r="I217" s="287">
        <v>6.24</v>
      </c>
      <c r="J217" s="268">
        <f t="shared" si="270"/>
        <v>7.92</v>
      </c>
      <c r="K217" s="292">
        <v>37.04</v>
      </c>
      <c r="L217" s="268">
        <f t="shared" si="271"/>
        <v>46.99</v>
      </c>
      <c r="M217" s="268">
        <f t="shared" si="278"/>
        <v>54.91</v>
      </c>
      <c r="N217" s="268">
        <f t="shared" si="279"/>
        <v>7.92</v>
      </c>
      <c r="O217" s="268">
        <f t="shared" si="280"/>
        <v>46.99</v>
      </c>
      <c r="P217" s="268">
        <f t="shared" si="281"/>
        <v>54.91</v>
      </c>
      <c r="Q217" s="269">
        <f t="shared" si="276"/>
        <v>0</v>
      </c>
      <c r="R217" s="44"/>
      <c r="S217" s="49">
        <f t="shared" si="269"/>
        <v>43.28</v>
      </c>
      <c r="T217" s="126"/>
      <c r="U217" s="48"/>
      <c r="V217" s="48"/>
      <c r="W217" s="48"/>
      <c r="X217" s="48"/>
      <c r="Y217" s="48"/>
      <c r="Z217" s="48"/>
      <c r="AA217" s="48"/>
      <c r="AB217" s="48"/>
      <c r="AC217" s="48"/>
      <c r="AD217" s="48"/>
      <c r="AE217" s="48"/>
      <c r="AF217" s="48"/>
      <c r="AG217" s="48"/>
      <c r="AH217" s="48"/>
      <c r="AI217" s="48"/>
      <c r="AJ217" s="44"/>
      <c r="AK217" s="44"/>
      <c r="AL217" s="44"/>
    </row>
    <row r="218" spans="1:38" ht="41.4" x14ac:dyDescent="0.25">
      <c r="A218" s="94"/>
      <c r="B218" s="265" t="s">
        <v>1200</v>
      </c>
      <c r="C218" s="266" t="s">
        <v>601</v>
      </c>
      <c r="D218" s="265" t="s">
        <v>40</v>
      </c>
      <c r="E218" s="265" t="s">
        <v>602</v>
      </c>
      <c r="F218" s="267" t="s">
        <v>44</v>
      </c>
      <c r="G218" s="277">
        <v>3</v>
      </c>
      <c r="H218" s="268">
        <f t="shared" si="277"/>
        <v>9.4</v>
      </c>
      <c r="I218" s="287">
        <v>3.09</v>
      </c>
      <c r="J218" s="268">
        <f t="shared" si="270"/>
        <v>3.92</v>
      </c>
      <c r="K218" s="292">
        <v>6.31</v>
      </c>
      <c r="L218" s="268">
        <f t="shared" si="271"/>
        <v>8.01</v>
      </c>
      <c r="M218" s="268">
        <f t="shared" si="278"/>
        <v>11.93</v>
      </c>
      <c r="N218" s="268">
        <f t="shared" si="279"/>
        <v>11.76</v>
      </c>
      <c r="O218" s="268">
        <f t="shared" si="280"/>
        <v>24.03</v>
      </c>
      <c r="P218" s="268">
        <f t="shared" si="281"/>
        <v>35.79</v>
      </c>
      <c r="Q218" s="269">
        <f t="shared" si="276"/>
        <v>0</v>
      </c>
      <c r="R218" s="44"/>
      <c r="S218" s="49">
        <f t="shared" si="269"/>
        <v>28.2</v>
      </c>
      <c r="T218" s="126"/>
      <c r="U218" s="48"/>
      <c r="V218" s="48"/>
      <c r="W218" s="48"/>
      <c r="X218" s="48"/>
      <c r="Y218" s="48"/>
      <c r="Z218" s="48"/>
      <c r="AA218" s="48"/>
      <c r="AB218" s="48"/>
      <c r="AC218" s="48"/>
      <c r="AD218" s="48"/>
      <c r="AE218" s="48"/>
      <c r="AF218" s="48"/>
      <c r="AG218" s="48"/>
      <c r="AH218" s="48"/>
      <c r="AI218" s="48"/>
      <c r="AJ218" s="44"/>
      <c r="AK218" s="44"/>
      <c r="AL218" s="44"/>
    </row>
    <row r="219" spans="1:38" ht="27.6" x14ac:dyDescent="0.25">
      <c r="A219" s="94"/>
      <c r="B219" s="265" t="s">
        <v>1201</v>
      </c>
      <c r="C219" s="266" t="s">
        <v>605</v>
      </c>
      <c r="D219" s="265" t="s">
        <v>40</v>
      </c>
      <c r="E219" s="265" t="s">
        <v>606</v>
      </c>
      <c r="F219" s="267" t="s">
        <v>44</v>
      </c>
      <c r="G219" s="277">
        <v>18</v>
      </c>
      <c r="H219" s="268">
        <f t="shared" si="277"/>
        <v>24.39</v>
      </c>
      <c r="I219" s="287">
        <v>7.6</v>
      </c>
      <c r="J219" s="268">
        <f t="shared" si="270"/>
        <v>9.64</v>
      </c>
      <c r="K219" s="292">
        <v>16.79</v>
      </c>
      <c r="L219" s="268">
        <f t="shared" si="271"/>
        <v>21.3</v>
      </c>
      <c r="M219" s="268">
        <f t="shared" si="278"/>
        <v>30.94</v>
      </c>
      <c r="N219" s="268">
        <f t="shared" si="279"/>
        <v>173.52</v>
      </c>
      <c r="O219" s="268">
        <f t="shared" si="280"/>
        <v>383.4</v>
      </c>
      <c r="P219" s="268">
        <f t="shared" si="281"/>
        <v>556.91999999999996</v>
      </c>
      <c r="Q219" s="269">
        <f t="shared" si="276"/>
        <v>2.0000000000000001E-4</v>
      </c>
      <c r="R219" s="44"/>
      <c r="S219" s="49">
        <f t="shared" si="269"/>
        <v>439.02</v>
      </c>
      <c r="T219" s="126"/>
      <c r="U219" s="48"/>
      <c r="V219" s="48"/>
      <c r="W219" s="48"/>
      <c r="X219" s="48"/>
      <c r="Y219" s="48"/>
      <c r="Z219" s="48"/>
      <c r="AA219" s="48"/>
      <c r="AB219" s="48"/>
      <c r="AC219" s="48"/>
      <c r="AD219" s="48"/>
      <c r="AE219" s="48"/>
      <c r="AF219" s="48"/>
      <c r="AG219" s="48"/>
      <c r="AH219" s="48"/>
      <c r="AI219" s="48"/>
      <c r="AJ219" s="44"/>
      <c r="AK219" s="44"/>
      <c r="AL219" s="44"/>
    </row>
    <row r="220" spans="1:38" ht="27.6" x14ac:dyDescent="0.25">
      <c r="A220" s="94"/>
      <c r="B220" s="265" t="s">
        <v>1202</v>
      </c>
      <c r="C220" s="266" t="s">
        <v>607</v>
      </c>
      <c r="D220" s="265" t="s">
        <v>40</v>
      </c>
      <c r="E220" s="265" t="s">
        <v>608</v>
      </c>
      <c r="F220" s="267" t="s">
        <v>55</v>
      </c>
      <c r="G220" s="277">
        <v>100.9</v>
      </c>
      <c r="H220" s="268">
        <f t="shared" si="277"/>
        <v>26.53</v>
      </c>
      <c r="I220" s="287">
        <v>8.8800000000000008</v>
      </c>
      <c r="J220" s="268">
        <f t="shared" si="270"/>
        <v>11.27</v>
      </c>
      <c r="K220" s="292">
        <v>17.649999999999999</v>
      </c>
      <c r="L220" s="268">
        <f t="shared" si="271"/>
        <v>22.39</v>
      </c>
      <c r="M220" s="268">
        <f t="shared" si="278"/>
        <v>33.659999999999997</v>
      </c>
      <c r="N220" s="268">
        <f t="shared" si="279"/>
        <v>1137.1400000000001</v>
      </c>
      <c r="O220" s="268">
        <f t="shared" si="280"/>
        <v>2259.15</v>
      </c>
      <c r="P220" s="268">
        <f t="shared" si="281"/>
        <v>3396.29</v>
      </c>
      <c r="Q220" s="269">
        <f t="shared" si="276"/>
        <v>1.2999999999999999E-3</v>
      </c>
      <c r="R220" s="44"/>
      <c r="S220" s="49">
        <f t="shared" si="269"/>
        <v>2676.88</v>
      </c>
      <c r="T220" s="126"/>
      <c r="U220" s="48"/>
      <c r="V220" s="48"/>
      <c r="W220" s="48"/>
      <c r="X220" s="48"/>
      <c r="Y220" s="48"/>
      <c r="Z220" s="48"/>
      <c r="AA220" s="48"/>
      <c r="AB220" s="48"/>
      <c r="AC220" s="48"/>
      <c r="AD220" s="48"/>
      <c r="AE220" s="48"/>
      <c r="AF220" s="48"/>
      <c r="AG220" s="48"/>
      <c r="AH220" s="48"/>
      <c r="AI220" s="48"/>
      <c r="AJ220" s="44"/>
      <c r="AK220" s="44"/>
      <c r="AL220" s="44"/>
    </row>
    <row r="221" spans="1:38" ht="27.6" x14ac:dyDescent="0.25">
      <c r="A221" s="94"/>
      <c r="B221" s="265" t="s">
        <v>1203</v>
      </c>
      <c r="C221" s="266" t="s">
        <v>609</v>
      </c>
      <c r="D221" s="265" t="s">
        <v>40</v>
      </c>
      <c r="E221" s="265" t="s">
        <v>610</v>
      </c>
      <c r="F221" s="267" t="s">
        <v>44</v>
      </c>
      <c r="G221" s="277">
        <v>5</v>
      </c>
      <c r="H221" s="268">
        <f t="shared" si="277"/>
        <v>27.76</v>
      </c>
      <c r="I221" s="287">
        <v>8.65</v>
      </c>
      <c r="J221" s="268">
        <f t="shared" si="270"/>
        <v>10.97</v>
      </c>
      <c r="K221" s="292">
        <v>19.11</v>
      </c>
      <c r="L221" s="268">
        <f t="shared" si="271"/>
        <v>24.24</v>
      </c>
      <c r="M221" s="268">
        <f t="shared" si="278"/>
        <v>35.21</v>
      </c>
      <c r="N221" s="268">
        <f t="shared" si="279"/>
        <v>54.85</v>
      </c>
      <c r="O221" s="268">
        <f t="shared" si="280"/>
        <v>121.2</v>
      </c>
      <c r="P221" s="268">
        <f t="shared" si="281"/>
        <v>176.05</v>
      </c>
      <c r="Q221" s="269">
        <f t="shared" si="276"/>
        <v>1E-4</v>
      </c>
      <c r="R221" s="44"/>
      <c r="S221" s="49">
        <f t="shared" si="269"/>
        <v>138.80000000000001</v>
      </c>
      <c r="T221" s="126"/>
      <c r="U221" s="48"/>
      <c r="V221" s="48"/>
      <c r="W221" s="48"/>
      <c r="X221" s="48"/>
      <c r="Y221" s="48"/>
      <c r="Z221" s="48"/>
      <c r="AA221" s="48"/>
      <c r="AB221" s="48"/>
      <c r="AC221" s="48"/>
      <c r="AD221" s="48"/>
      <c r="AE221" s="48"/>
      <c r="AF221" s="48"/>
      <c r="AG221" s="48"/>
      <c r="AH221" s="48"/>
      <c r="AI221" s="48"/>
      <c r="AJ221" s="44"/>
      <c r="AK221" s="44"/>
      <c r="AL221" s="44"/>
    </row>
    <row r="222" spans="1:38" x14ac:dyDescent="0.25">
      <c r="A222" s="94"/>
      <c r="B222" s="265" t="s">
        <v>1204</v>
      </c>
      <c r="C222" s="266" t="s">
        <v>850</v>
      </c>
      <c r="D222" s="265" t="s">
        <v>199</v>
      </c>
      <c r="E222" s="265" t="s">
        <v>851</v>
      </c>
      <c r="F222" s="267" t="s">
        <v>393</v>
      </c>
      <c r="G222" s="277">
        <v>1</v>
      </c>
      <c r="H222" s="268">
        <v>1039.18</v>
      </c>
      <c r="I222" s="287">
        <f>22.28+32.5</f>
        <v>54.78</v>
      </c>
      <c r="J222" s="268">
        <f t="shared" si="270"/>
        <v>69.5</v>
      </c>
      <c r="K222" s="292">
        <f>H222-I222</f>
        <v>984.4</v>
      </c>
      <c r="L222" s="268">
        <f t="shared" si="271"/>
        <v>1248.9100000000001</v>
      </c>
      <c r="M222" s="268">
        <f t="shared" si="278"/>
        <v>1318.41</v>
      </c>
      <c r="N222" s="268">
        <f t="shared" si="279"/>
        <v>69.5</v>
      </c>
      <c r="O222" s="268">
        <f t="shared" si="280"/>
        <v>1248.9100000000001</v>
      </c>
      <c r="P222" s="268">
        <f t="shared" si="281"/>
        <v>1318.41</v>
      </c>
      <c r="Q222" s="269">
        <f t="shared" si="276"/>
        <v>5.0000000000000001E-4</v>
      </c>
      <c r="R222" s="44"/>
      <c r="S222" s="49">
        <f t="shared" si="269"/>
        <v>1039.18</v>
      </c>
      <c r="T222" s="126"/>
      <c r="U222" s="48"/>
      <c r="V222" s="48"/>
      <c r="W222" s="48"/>
      <c r="X222" s="48"/>
      <c r="Y222" s="48"/>
      <c r="Z222" s="48"/>
      <c r="AA222" s="48"/>
      <c r="AB222" s="48"/>
      <c r="AC222" s="48"/>
      <c r="AD222" s="48"/>
      <c r="AE222" s="48"/>
      <c r="AF222" s="48"/>
      <c r="AG222" s="48"/>
      <c r="AH222" s="48"/>
      <c r="AI222" s="48"/>
      <c r="AJ222" s="44"/>
      <c r="AK222" s="44"/>
      <c r="AL222" s="44"/>
    </row>
    <row r="223" spans="1:38" x14ac:dyDescent="0.25">
      <c r="A223" s="94"/>
      <c r="B223" s="265" t="s">
        <v>1205</v>
      </c>
      <c r="C223" s="266" t="s">
        <v>395</v>
      </c>
      <c r="D223" s="265" t="s">
        <v>40</v>
      </c>
      <c r="E223" s="265" t="s">
        <v>396</v>
      </c>
      <c r="F223" s="267" t="s">
        <v>44</v>
      </c>
      <c r="G223" s="277">
        <v>1</v>
      </c>
      <c r="H223" s="268">
        <f t="shared" si="277"/>
        <v>39.549999999999997</v>
      </c>
      <c r="I223" s="287">
        <v>3.65</v>
      </c>
      <c r="J223" s="268">
        <f t="shared" si="270"/>
        <v>4.63</v>
      </c>
      <c r="K223" s="292">
        <v>35.9</v>
      </c>
      <c r="L223" s="268">
        <f t="shared" si="271"/>
        <v>45.55</v>
      </c>
      <c r="M223" s="268">
        <f t="shared" si="278"/>
        <v>50.18</v>
      </c>
      <c r="N223" s="268">
        <f t="shared" si="279"/>
        <v>4.63</v>
      </c>
      <c r="O223" s="268">
        <f t="shared" si="280"/>
        <v>45.55</v>
      </c>
      <c r="P223" s="268">
        <f t="shared" si="281"/>
        <v>50.18</v>
      </c>
      <c r="Q223" s="269">
        <f t="shared" si="276"/>
        <v>0</v>
      </c>
      <c r="R223" s="44"/>
      <c r="S223" s="49">
        <f t="shared" si="269"/>
        <v>39.549999999999997</v>
      </c>
      <c r="T223" s="126"/>
      <c r="U223" s="48"/>
      <c r="V223" s="48"/>
      <c r="W223" s="48"/>
      <c r="X223" s="48"/>
      <c r="Y223" s="48"/>
      <c r="Z223" s="48"/>
      <c r="AA223" s="48"/>
      <c r="AB223" s="48"/>
      <c r="AC223" s="48"/>
      <c r="AD223" s="48"/>
      <c r="AE223" s="48"/>
      <c r="AF223" s="48"/>
      <c r="AG223" s="48"/>
      <c r="AH223" s="48"/>
      <c r="AI223" s="48"/>
      <c r="AJ223" s="44"/>
      <c r="AK223" s="44"/>
      <c r="AL223" s="44"/>
    </row>
    <row r="224" spans="1:38" ht="27.6" x14ac:dyDescent="0.25">
      <c r="A224" s="94"/>
      <c r="B224" s="265" t="s">
        <v>1206</v>
      </c>
      <c r="C224" s="266" t="s">
        <v>173</v>
      </c>
      <c r="D224" s="265" t="s">
        <v>40</v>
      </c>
      <c r="E224" s="265" t="s">
        <v>174</v>
      </c>
      <c r="F224" s="267" t="s">
        <v>44</v>
      </c>
      <c r="G224" s="277">
        <v>1</v>
      </c>
      <c r="H224" s="268">
        <f t="shared" si="277"/>
        <v>167.17</v>
      </c>
      <c r="I224" s="287">
        <v>12.39</v>
      </c>
      <c r="J224" s="268">
        <f t="shared" si="270"/>
        <v>15.72</v>
      </c>
      <c r="K224" s="292">
        <v>154.78</v>
      </c>
      <c r="L224" s="268">
        <f t="shared" si="271"/>
        <v>196.37</v>
      </c>
      <c r="M224" s="268">
        <f t="shared" si="278"/>
        <v>212.09</v>
      </c>
      <c r="N224" s="268">
        <f t="shared" si="279"/>
        <v>15.72</v>
      </c>
      <c r="O224" s="268">
        <f t="shared" si="280"/>
        <v>196.37</v>
      </c>
      <c r="P224" s="268">
        <f t="shared" si="281"/>
        <v>212.09</v>
      </c>
      <c r="Q224" s="269">
        <f t="shared" si="276"/>
        <v>1E-4</v>
      </c>
      <c r="R224" s="44"/>
      <c r="S224" s="49">
        <f t="shared" si="269"/>
        <v>167.17</v>
      </c>
      <c r="T224" s="126"/>
      <c r="U224" s="48"/>
      <c r="V224" s="48"/>
      <c r="W224" s="48"/>
      <c r="X224" s="48"/>
      <c r="Y224" s="48"/>
      <c r="Z224" s="48"/>
      <c r="AA224" s="48"/>
      <c r="AB224" s="48"/>
      <c r="AC224" s="48"/>
      <c r="AD224" s="48"/>
      <c r="AE224" s="48"/>
      <c r="AF224" s="48"/>
      <c r="AG224" s="48"/>
      <c r="AH224" s="48"/>
      <c r="AI224" s="48"/>
      <c r="AJ224" s="44"/>
      <c r="AK224" s="44"/>
      <c r="AL224" s="44"/>
    </row>
    <row r="225" spans="1:38" ht="27.6" x14ac:dyDescent="0.25">
      <c r="A225" s="94"/>
      <c r="B225" s="265" t="s">
        <v>1207</v>
      </c>
      <c r="C225" s="266" t="s">
        <v>171</v>
      </c>
      <c r="D225" s="265" t="s">
        <v>40</v>
      </c>
      <c r="E225" s="265" t="s">
        <v>172</v>
      </c>
      <c r="F225" s="267" t="s">
        <v>44</v>
      </c>
      <c r="G225" s="277">
        <v>28</v>
      </c>
      <c r="H225" s="268">
        <f t="shared" si="277"/>
        <v>94.35</v>
      </c>
      <c r="I225" s="287">
        <v>7.32</v>
      </c>
      <c r="J225" s="268">
        <f t="shared" si="270"/>
        <v>9.2899999999999991</v>
      </c>
      <c r="K225" s="292">
        <v>87.03</v>
      </c>
      <c r="L225" s="268">
        <f t="shared" si="271"/>
        <v>110.41</v>
      </c>
      <c r="M225" s="268">
        <f t="shared" si="278"/>
        <v>119.7</v>
      </c>
      <c r="N225" s="268">
        <f t="shared" si="279"/>
        <v>260.12</v>
      </c>
      <c r="O225" s="268">
        <f t="shared" si="280"/>
        <v>3091.48</v>
      </c>
      <c r="P225" s="268">
        <f t="shared" si="281"/>
        <v>3351.6</v>
      </c>
      <c r="Q225" s="269">
        <f t="shared" si="276"/>
        <v>1.2999999999999999E-3</v>
      </c>
      <c r="R225" s="44"/>
      <c r="S225" s="49">
        <f t="shared" si="269"/>
        <v>2641.8</v>
      </c>
      <c r="T225" s="126"/>
      <c r="U225" s="48"/>
      <c r="V225" s="48"/>
      <c r="W225" s="48"/>
      <c r="X225" s="48"/>
      <c r="Y225" s="48"/>
      <c r="Z225" s="48"/>
      <c r="AA225" s="48"/>
      <c r="AB225" s="48"/>
      <c r="AC225" s="48"/>
      <c r="AD225" s="48"/>
      <c r="AE225" s="48"/>
      <c r="AF225" s="48"/>
      <c r="AG225" s="48"/>
      <c r="AH225" s="48"/>
      <c r="AI225" s="48"/>
      <c r="AJ225" s="44"/>
      <c r="AK225" s="44"/>
      <c r="AL225" s="44"/>
    </row>
    <row r="226" spans="1:38" ht="27.6" x14ac:dyDescent="0.25">
      <c r="A226" s="94"/>
      <c r="B226" s="265" t="s">
        <v>1208</v>
      </c>
      <c r="C226" s="266" t="s">
        <v>169</v>
      </c>
      <c r="D226" s="265" t="s">
        <v>40</v>
      </c>
      <c r="E226" s="265" t="s">
        <v>170</v>
      </c>
      <c r="F226" s="267" t="s">
        <v>44</v>
      </c>
      <c r="G226" s="277">
        <v>3</v>
      </c>
      <c r="H226" s="268">
        <f t="shared" si="277"/>
        <v>89.52</v>
      </c>
      <c r="I226" s="287">
        <v>7.32</v>
      </c>
      <c r="J226" s="268">
        <f t="shared" si="270"/>
        <v>9.2899999999999991</v>
      </c>
      <c r="K226" s="292">
        <v>82.2</v>
      </c>
      <c r="L226" s="268">
        <f t="shared" si="271"/>
        <v>104.29</v>
      </c>
      <c r="M226" s="268">
        <f t="shared" si="278"/>
        <v>113.58</v>
      </c>
      <c r="N226" s="268">
        <f t="shared" si="279"/>
        <v>27.87</v>
      </c>
      <c r="O226" s="268">
        <f t="shared" si="280"/>
        <v>312.87</v>
      </c>
      <c r="P226" s="268">
        <f t="shared" si="281"/>
        <v>340.74</v>
      </c>
      <c r="Q226" s="269">
        <f t="shared" si="276"/>
        <v>1E-4</v>
      </c>
      <c r="R226" s="44"/>
      <c r="S226" s="49">
        <f t="shared" si="269"/>
        <v>268.56</v>
      </c>
      <c r="T226" s="126"/>
      <c r="U226" s="48"/>
      <c r="V226" s="48"/>
      <c r="W226" s="48"/>
      <c r="X226" s="48"/>
      <c r="Y226" s="48"/>
      <c r="Z226" s="48"/>
      <c r="AA226" s="48"/>
      <c r="AB226" s="48"/>
      <c r="AC226" s="48"/>
      <c r="AD226" s="48"/>
      <c r="AE226" s="48"/>
      <c r="AF226" s="48"/>
      <c r="AG226" s="48"/>
      <c r="AH226" s="48"/>
      <c r="AI226" s="48"/>
      <c r="AJ226" s="44"/>
      <c r="AK226" s="44"/>
      <c r="AL226" s="44"/>
    </row>
    <row r="227" spans="1:38" ht="27.6" x14ac:dyDescent="0.25">
      <c r="A227" s="94"/>
      <c r="B227" s="265" t="s">
        <v>1209</v>
      </c>
      <c r="C227" s="266" t="s">
        <v>614</v>
      </c>
      <c r="D227" s="265" t="s">
        <v>40</v>
      </c>
      <c r="E227" s="265" t="s">
        <v>615</v>
      </c>
      <c r="F227" s="267" t="s">
        <v>55</v>
      </c>
      <c r="G227" s="277">
        <v>2</v>
      </c>
      <c r="H227" s="268">
        <f t="shared" si="277"/>
        <v>54.06</v>
      </c>
      <c r="I227" s="287">
        <v>6.41</v>
      </c>
      <c r="J227" s="268">
        <f t="shared" si="270"/>
        <v>8.1300000000000008</v>
      </c>
      <c r="K227" s="292">
        <v>47.65</v>
      </c>
      <c r="L227" s="268">
        <f t="shared" si="271"/>
        <v>60.45</v>
      </c>
      <c r="M227" s="268">
        <f t="shared" si="278"/>
        <v>68.58</v>
      </c>
      <c r="N227" s="268">
        <f t="shared" si="279"/>
        <v>16.260000000000002</v>
      </c>
      <c r="O227" s="268">
        <f t="shared" si="280"/>
        <v>120.9</v>
      </c>
      <c r="P227" s="268">
        <f t="shared" si="281"/>
        <v>137.16</v>
      </c>
      <c r="Q227" s="269">
        <f t="shared" si="276"/>
        <v>1E-4</v>
      </c>
      <c r="R227" s="44"/>
      <c r="S227" s="49">
        <f t="shared" si="269"/>
        <v>108.12</v>
      </c>
      <c r="T227" s="126"/>
      <c r="U227" s="48"/>
      <c r="V227" s="48"/>
      <c r="W227" s="48"/>
      <c r="X227" s="48"/>
      <c r="Y227" s="48"/>
      <c r="Z227" s="48"/>
      <c r="AA227" s="48"/>
      <c r="AB227" s="48"/>
      <c r="AC227" s="48"/>
      <c r="AD227" s="48"/>
      <c r="AE227" s="48"/>
      <c r="AF227" s="48"/>
      <c r="AG227" s="48"/>
      <c r="AH227" s="48"/>
      <c r="AI227" s="48"/>
      <c r="AJ227" s="44"/>
      <c r="AK227" s="44"/>
      <c r="AL227" s="44"/>
    </row>
    <row r="228" spans="1:38" ht="27.6" x14ac:dyDescent="0.25">
      <c r="A228" s="94"/>
      <c r="B228" s="265" t="s">
        <v>1210</v>
      </c>
      <c r="C228" s="266" t="s">
        <v>616</v>
      </c>
      <c r="D228" s="265" t="s">
        <v>40</v>
      </c>
      <c r="E228" s="265" t="s">
        <v>617</v>
      </c>
      <c r="F228" s="267" t="s">
        <v>55</v>
      </c>
      <c r="G228" s="277">
        <v>1</v>
      </c>
      <c r="H228" s="268">
        <f t="shared" si="277"/>
        <v>95.03</v>
      </c>
      <c r="I228" s="287">
        <v>10.130000000000001</v>
      </c>
      <c r="J228" s="268">
        <f t="shared" si="270"/>
        <v>12.85</v>
      </c>
      <c r="K228" s="292">
        <v>84.9</v>
      </c>
      <c r="L228" s="268">
        <f t="shared" si="271"/>
        <v>107.71</v>
      </c>
      <c r="M228" s="268">
        <f t="shared" si="278"/>
        <v>120.56</v>
      </c>
      <c r="N228" s="268">
        <f t="shared" si="279"/>
        <v>12.85</v>
      </c>
      <c r="O228" s="268">
        <f t="shared" si="280"/>
        <v>107.71</v>
      </c>
      <c r="P228" s="268">
        <f t="shared" si="281"/>
        <v>120.56</v>
      </c>
      <c r="Q228" s="269">
        <f t="shared" si="276"/>
        <v>0</v>
      </c>
      <c r="R228" s="44"/>
      <c r="S228" s="49">
        <f t="shared" si="269"/>
        <v>95.03</v>
      </c>
      <c r="T228" s="126"/>
      <c r="U228" s="48"/>
      <c r="V228" s="48"/>
      <c r="W228" s="48"/>
      <c r="X228" s="48"/>
      <c r="Y228" s="48"/>
      <c r="Z228" s="48"/>
      <c r="AA228" s="48"/>
      <c r="AB228" s="48"/>
      <c r="AC228" s="48"/>
      <c r="AD228" s="48"/>
      <c r="AE228" s="48"/>
      <c r="AF228" s="48"/>
      <c r="AG228" s="48"/>
      <c r="AH228" s="48"/>
      <c r="AI228" s="48"/>
      <c r="AJ228" s="44"/>
      <c r="AK228" s="44"/>
      <c r="AL228" s="44"/>
    </row>
    <row r="229" spans="1:38" ht="27.6" x14ac:dyDescent="0.25">
      <c r="A229" s="94"/>
      <c r="B229" s="265" t="s">
        <v>1211</v>
      </c>
      <c r="C229" s="266" t="s">
        <v>618</v>
      </c>
      <c r="D229" s="265" t="s">
        <v>40</v>
      </c>
      <c r="E229" s="265" t="s">
        <v>619</v>
      </c>
      <c r="F229" s="267" t="s">
        <v>44</v>
      </c>
      <c r="G229" s="277">
        <v>3</v>
      </c>
      <c r="H229" s="268">
        <f t="shared" si="277"/>
        <v>6.11</v>
      </c>
      <c r="I229" s="287">
        <v>3.15</v>
      </c>
      <c r="J229" s="268">
        <f t="shared" si="270"/>
        <v>4</v>
      </c>
      <c r="K229" s="292">
        <v>2.96</v>
      </c>
      <c r="L229" s="268">
        <f t="shared" si="271"/>
        <v>3.76</v>
      </c>
      <c r="M229" s="268">
        <f t="shared" si="278"/>
        <v>7.76</v>
      </c>
      <c r="N229" s="268">
        <f t="shared" si="279"/>
        <v>12</v>
      </c>
      <c r="O229" s="268">
        <f t="shared" si="280"/>
        <v>11.28</v>
      </c>
      <c r="P229" s="268">
        <f t="shared" si="281"/>
        <v>23.28</v>
      </c>
      <c r="Q229" s="269">
        <f t="shared" si="276"/>
        <v>0</v>
      </c>
      <c r="R229" s="44"/>
      <c r="S229" s="49">
        <f t="shared" si="269"/>
        <v>18.329999999999998</v>
      </c>
      <c r="T229" s="126"/>
      <c r="U229" s="48"/>
      <c r="V229" s="48"/>
      <c r="W229" s="48"/>
      <c r="X229" s="48"/>
      <c r="Y229" s="48"/>
      <c r="Z229" s="48"/>
      <c r="AA229" s="48"/>
      <c r="AB229" s="48"/>
      <c r="AC229" s="48"/>
      <c r="AD229" s="48"/>
      <c r="AE229" s="48"/>
      <c r="AF229" s="48"/>
      <c r="AG229" s="48"/>
      <c r="AH229" s="48"/>
      <c r="AI229" s="48"/>
      <c r="AJ229" s="44"/>
      <c r="AK229" s="44"/>
      <c r="AL229" s="44"/>
    </row>
    <row r="230" spans="1:38" ht="27.6" x14ac:dyDescent="0.25">
      <c r="A230" s="94"/>
      <c r="B230" s="265" t="s">
        <v>1212</v>
      </c>
      <c r="C230" s="266">
        <v>89593</v>
      </c>
      <c r="D230" s="265" t="s">
        <v>40</v>
      </c>
      <c r="E230" s="265" t="s">
        <v>620</v>
      </c>
      <c r="F230" s="267" t="s">
        <v>44</v>
      </c>
      <c r="G230" s="277">
        <v>2</v>
      </c>
      <c r="H230" s="268">
        <f t="shared" si="277"/>
        <v>22.14</v>
      </c>
      <c r="I230" s="287">
        <v>2.42</v>
      </c>
      <c r="J230" s="268">
        <f t="shared" si="270"/>
        <v>3.07</v>
      </c>
      <c r="K230" s="292">
        <v>19.72</v>
      </c>
      <c r="L230" s="268">
        <f t="shared" si="271"/>
        <v>25.02</v>
      </c>
      <c r="M230" s="268">
        <f t="shared" si="278"/>
        <v>28.09</v>
      </c>
      <c r="N230" s="268">
        <f t="shared" si="279"/>
        <v>6.14</v>
      </c>
      <c r="O230" s="268">
        <f t="shared" si="280"/>
        <v>50.04</v>
      </c>
      <c r="P230" s="268">
        <f t="shared" si="281"/>
        <v>56.18</v>
      </c>
      <c r="Q230" s="269">
        <f t="shared" si="276"/>
        <v>0</v>
      </c>
      <c r="R230" s="44"/>
      <c r="S230" s="49">
        <f t="shared" si="269"/>
        <v>44.28</v>
      </c>
      <c r="T230" s="126"/>
      <c r="U230" s="48"/>
      <c r="V230" s="48"/>
      <c r="W230" s="48"/>
      <c r="X230" s="48"/>
      <c r="Y230" s="48"/>
      <c r="Z230" s="48"/>
      <c r="AA230" s="48"/>
      <c r="AB230" s="48"/>
      <c r="AC230" s="48"/>
      <c r="AD230" s="48"/>
      <c r="AE230" s="48"/>
      <c r="AF230" s="48"/>
      <c r="AG230" s="48"/>
      <c r="AH230" s="48"/>
      <c r="AI230" s="48"/>
      <c r="AJ230" s="44"/>
      <c r="AK230" s="44"/>
      <c r="AL230" s="44"/>
    </row>
    <row r="231" spans="1:38" ht="41.4" x14ac:dyDescent="0.25">
      <c r="A231" s="94"/>
      <c r="B231" s="265" t="s">
        <v>1213</v>
      </c>
      <c r="C231" s="266" t="s">
        <v>621</v>
      </c>
      <c r="D231" s="265" t="s">
        <v>40</v>
      </c>
      <c r="E231" s="265" t="s">
        <v>622</v>
      </c>
      <c r="F231" s="267" t="s">
        <v>44</v>
      </c>
      <c r="G231" s="277">
        <v>61</v>
      </c>
      <c r="H231" s="268">
        <f t="shared" si="277"/>
        <v>2.96</v>
      </c>
      <c r="I231" s="287">
        <v>1.27</v>
      </c>
      <c r="J231" s="268">
        <f t="shared" si="270"/>
        <v>1.61</v>
      </c>
      <c r="K231" s="292">
        <v>1.69</v>
      </c>
      <c r="L231" s="268">
        <f t="shared" si="271"/>
        <v>2.14</v>
      </c>
      <c r="M231" s="268">
        <f t="shared" si="278"/>
        <v>3.75</v>
      </c>
      <c r="N231" s="268">
        <f t="shared" si="279"/>
        <v>98.21</v>
      </c>
      <c r="O231" s="268">
        <f t="shared" si="280"/>
        <v>130.54</v>
      </c>
      <c r="P231" s="268">
        <f t="shared" si="281"/>
        <v>228.75</v>
      </c>
      <c r="Q231" s="269">
        <f t="shared" si="276"/>
        <v>1E-4</v>
      </c>
      <c r="R231" s="44"/>
      <c r="S231" s="49">
        <f t="shared" si="269"/>
        <v>180.56</v>
      </c>
      <c r="T231" s="126"/>
      <c r="U231" s="48"/>
      <c r="V231" s="48"/>
      <c r="W231" s="48"/>
      <c r="X231" s="48"/>
      <c r="Y231" s="48"/>
      <c r="Z231" s="48"/>
      <c r="AA231" s="48"/>
      <c r="AB231" s="48"/>
      <c r="AC231" s="48"/>
      <c r="AD231" s="48"/>
      <c r="AE231" s="48"/>
      <c r="AF231" s="48"/>
      <c r="AG231" s="48"/>
      <c r="AH231" s="48"/>
      <c r="AI231" s="48"/>
      <c r="AJ231" s="44"/>
      <c r="AK231" s="44"/>
      <c r="AL231" s="44"/>
    </row>
    <row r="232" spans="1:38" ht="27.6" x14ac:dyDescent="0.25">
      <c r="A232" s="94"/>
      <c r="B232" s="265" t="s">
        <v>1214</v>
      </c>
      <c r="C232" s="266" t="s">
        <v>623</v>
      </c>
      <c r="D232" s="265" t="s">
        <v>40</v>
      </c>
      <c r="E232" s="265" t="s">
        <v>1075</v>
      </c>
      <c r="F232" s="267" t="s">
        <v>44</v>
      </c>
      <c r="G232" s="277">
        <v>1</v>
      </c>
      <c r="H232" s="268">
        <f t="shared" si="277"/>
        <v>15.31</v>
      </c>
      <c r="I232" s="287">
        <v>4.32</v>
      </c>
      <c r="J232" s="268">
        <f t="shared" si="270"/>
        <v>5.48</v>
      </c>
      <c r="K232" s="292">
        <v>10.99</v>
      </c>
      <c r="L232" s="268">
        <f t="shared" si="271"/>
        <v>13.94</v>
      </c>
      <c r="M232" s="268">
        <f t="shared" si="278"/>
        <v>19.420000000000002</v>
      </c>
      <c r="N232" s="268">
        <f t="shared" si="279"/>
        <v>5.48</v>
      </c>
      <c r="O232" s="268">
        <f t="shared" si="280"/>
        <v>13.94</v>
      </c>
      <c r="P232" s="268">
        <f t="shared" si="281"/>
        <v>19.420000000000002</v>
      </c>
      <c r="Q232" s="269">
        <f t="shared" si="276"/>
        <v>0</v>
      </c>
      <c r="R232" s="44"/>
      <c r="S232" s="49">
        <f t="shared" si="269"/>
        <v>15.31</v>
      </c>
      <c r="T232" s="126"/>
      <c r="U232" s="48"/>
      <c r="V232" s="48"/>
      <c r="W232" s="48"/>
      <c r="X232" s="48"/>
      <c r="Y232" s="48"/>
      <c r="Z232" s="48"/>
      <c r="AA232" s="48"/>
      <c r="AB232" s="48"/>
      <c r="AC232" s="48"/>
      <c r="AD232" s="48"/>
      <c r="AE232" s="48"/>
      <c r="AF232" s="48"/>
      <c r="AG232" s="48"/>
      <c r="AH232" s="48"/>
      <c r="AI232" s="48"/>
      <c r="AJ232" s="44"/>
      <c r="AK232" s="44"/>
      <c r="AL232" s="44"/>
    </row>
    <row r="233" spans="1:38" ht="27.6" customHeight="1" x14ac:dyDescent="0.25">
      <c r="A233" s="94"/>
      <c r="B233" s="265" t="s">
        <v>1215</v>
      </c>
      <c r="C233" s="266" t="s">
        <v>624</v>
      </c>
      <c r="D233" s="265" t="s">
        <v>40</v>
      </c>
      <c r="E233" s="265" t="s">
        <v>625</v>
      </c>
      <c r="F233" s="267" t="s">
        <v>44</v>
      </c>
      <c r="G233" s="277">
        <v>4</v>
      </c>
      <c r="H233" s="268">
        <f t="shared" si="277"/>
        <v>8.43</v>
      </c>
      <c r="I233" s="287">
        <v>2.1800000000000002</v>
      </c>
      <c r="J233" s="268">
        <f t="shared" si="270"/>
        <v>2.77</v>
      </c>
      <c r="K233" s="292">
        <v>6.25</v>
      </c>
      <c r="L233" s="268">
        <f t="shared" si="271"/>
        <v>7.93</v>
      </c>
      <c r="M233" s="268">
        <f t="shared" si="278"/>
        <v>10.7</v>
      </c>
      <c r="N233" s="268">
        <f t="shared" si="279"/>
        <v>11.08</v>
      </c>
      <c r="O233" s="268">
        <f t="shared" si="280"/>
        <v>31.72</v>
      </c>
      <c r="P233" s="268">
        <f t="shared" si="281"/>
        <v>42.8</v>
      </c>
      <c r="Q233" s="269">
        <f t="shared" si="276"/>
        <v>0</v>
      </c>
      <c r="R233" s="44"/>
      <c r="S233" s="49">
        <f t="shared" si="269"/>
        <v>33.72</v>
      </c>
      <c r="T233" s="126"/>
      <c r="U233" s="48"/>
      <c r="V233" s="48"/>
      <c r="W233" s="48"/>
      <c r="X233" s="48"/>
      <c r="Y233" s="48"/>
      <c r="Z233" s="48"/>
      <c r="AA233" s="48"/>
      <c r="AB233" s="48"/>
      <c r="AC233" s="48"/>
      <c r="AD233" s="48"/>
      <c r="AE233" s="48"/>
      <c r="AF233" s="48"/>
      <c r="AG233" s="48"/>
      <c r="AH233" s="48"/>
      <c r="AI233" s="48"/>
      <c r="AJ233" s="44"/>
      <c r="AK233" s="44"/>
      <c r="AL233" s="44"/>
    </row>
    <row r="234" spans="1:38" ht="27.6" x14ac:dyDescent="0.25">
      <c r="A234" s="94"/>
      <c r="B234" s="265" t="s">
        <v>1216</v>
      </c>
      <c r="C234" s="266" t="s">
        <v>626</v>
      </c>
      <c r="D234" s="265" t="s">
        <v>40</v>
      </c>
      <c r="E234" s="265" t="s">
        <v>627</v>
      </c>
      <c r="F234" s="267" t="s">
        <v>44</v>
      </c>
      <c r="G234" s="277">
        <v>86</v>
      </c>
      <c r="H234" s="268">
        <f t="shared" si="277"/>
        <v>6.7</v>
      </c>
      <c r="I234" s="287">
        <v>2.33</v>
      </c>
      <c r="J234" s="268">
        <f t="shared" si="270"/>
        <v>2.96</v>
      </c>
      <c r="K234" s="292">
        <v>4.37</v>
      </c>
      <c r="L234" s="268">
        <f t="shared" si="271"/>
        <v>5.54</v>
      </c>
      <c r="M234" s="268">
        <f t="shared" si="278"/>
        <v>8.5</v>
      </c>
      <c r="N234" s="268">
        <f t="shared" si="279"/>
        <v>254.56</v>
      </c>
      <c r="O234" s="268">
        <f t="shared" si="280"/>
        <v>476.44</v>
      </c>
      <c r="P234" s="268">
        <f t="shared" si="281"/>
        <v>731</v>
      </c>
      <c r="Q234" s="269">
        <f t="shared" si="276"/>
        <v>2.9999999999999997E-4</v>
      </c>
      <c r="R234" s="44"/>
      <c r="S234" s="49">
        <f t="shared" si="269"/>
        <v>576.20000000000005</v>
      </c>
      <c r="T234" s="126"/>
      <c r="U234" s="48"/>
      <c r="V234" s="48"/>
      <c r="W234" s="48"/>
      <c r="X234" s="48"/>
      <c r="Y234" s="48"/>
      <c r="Z234" s="48"/>
      <c r="AA234" s="48"/>
      <c r="AB234" s="48"/>
      <c r="AC234" s="48"/>
      <c r="AD234" s="48"/>
      <c r="AE234" s="48"/>
      <c r="AF234" s="48"/>
      <c r="AG234" s="48"/>
      <c r="AH234" s="48"/>
      <c r="AI234" s="48"/>
      <c r="AJ234" s="44"/>
      <c r="AK234" s="44"/>
      <c r="AL234" s="44"/>
    </row>
    <row r="235" spans="1:38" ht="27.6" x14ac:dyDescent="0.25">
      <c r="A235" s="94"/>
      <c r="B235" s="265" t="s">
        <v>1217</v>
      </c>
      <c r="C235" s="266" t="s">
        <v>628</v>
      </c>
      <c r="D235" s="265" t="s">
        <v>40</v>
      </c>
      <c r="E235" s="265" t="s">
        <v>629</v>
      </c>
      <c r="F235" s="267" t="s">
        <v>44</v>
      </c>
      <c r="G235" s="277">
        <v>1</v>
      </c>
      <c r="H235" s="268">
        <f t="shared" si="277"/>
        <v>11.53</v>
      </c>
      <c r="I235" s="287">
        <v>3.35</v>
      </c>
      <c r="J235" s="268">
        <f t="shared" si="270"/>
        <v>4.25</v>
      </c>
      <c r="K235" s="292">
        <v>8.18</v>
      </c>
      <c r="L235" s="268">
        <f t="shared" si="271"/>
        <v>10.38</v>
      </c>
      <c r="M235" s="268">
        <f t="shared" si="278"/>
        <v>14.63</v>
      </c>
      <c r="N235" s="268">
        <f t="shared" si="279"/>
        <v>4.25</v>
      </c>
      <c r="O235" s="268">
        <f t="shared" si="280"/>
        <v>10.38</v>
      </c>
      <c r="P235" s="268">
        <f t="shared" si="281"/>
        <v>14.63</v>
      </c>
      <c r="Q235" s="269">
        <f t="shared" si="276"/>
        <v>0</v>
      </c>
      <c r="R235" s="44"/>
      <c r="S235" s="49">
        <f t="shared" si="269"/>
        <v>11.53</v>
      </c>
      <c r="T235" s="126"/>
      <c r="U235" s="48"/>
      <c r="V235" s="48"/>
      <c r="W235" s="48"/>
      <c r="X235" s="48"/>
      <c r="Y235" s="48"/>
      <c r="Z235" s="48"/>
      <c r="AA235" s="48"/>
      <c r="AB235" s="48"/>
      <c r="AC235" s="48"/>
      <c r="AD235" s="48"/>
      <c r="AE235" s="48"/>
      <c r="AF235" s="48"/>
      <c r="AG235" s="48"/>
      <c r="AH235" s="48"/>
      <c r="AI235" s="48"/>
      <c r="AJ235" s="44"/>
      <c r="AK235" s="44"/>
      <c r="AL235" s="44"/>
    </row>
    <row r="236" spans="1:38" ht="27.6" x14ac:dyDescent="0.25">
      <c r="A236" s="94"/>
      <c r="B236" s="265" t="s">
        <v>1218</v>
      </c>
      <c r="C236" s="266" t="s">
        <v>630</v>
      </c>
      <c r="D236" s="265" t="s">
        <v>40</v>
      </c>
      <c r="E236" s="265" t="s">
        <v>631</v>
      </c>
      <c r="F236" s="267" t="s">
        <v>44</v>
      </c>
      <c r="G236" s="277">
        <v>29</v>
      </c>
      <c r="H236" s="268">
        <f t="shared" si="277"/>
        <v>14.55</v>
      </c>
      <c r="I236" s="287">
        <v>1.54</v>
      </c>
      <c r="J236" s="268">
        <f t="shared" si="270"/>
        <v>1.95</v>
      </c>
      <c r="K236" s="292">
        <v>13.01</v>
      </c>
      <c r="L236" s="268">
        <f t="shared" si="271"/>
        <v>16.510000000000002</v>
      </c>
      <c r="M236" s="268">
        <f t="shared" si="278"/>
        <v>18.46</v>
      </c>
      <c r="N236" s="268">
        <f t="shared" si="279"/>
        <v>56.55</v>
      </c>
      <c r="O236" s="268">
        <f t="shared" si="280"/>
        <v>478.79</v>
      </c>
      <c r="P236" s="268">
        <f t="shared" si="281"/>
        <v>535.34</v>
      </c>
      <c r="Q236" s="269">
        <f t="shared" si="276"/>
        <v>2.0000000000000001E-4</v>
      </c>
      <c r="R236" s="44"/>
      <c r="S236" s="49">
        <f t="shared" si="269"/>
        <v>421.95</v>
      </c>
      <c r="T236" s="126"/>
      <c r="U236" s="48"/>
      <c r="V236" s="48"/>
      <c r="W236" s="48"/>
      <c r="X236" s="48"/>
      <c r="Y236" s="48"/>
      <c r="Z236" s="48"/>
      <c r="AA236" s="48"/>
      <c r="AB236" s="48"/>
      <c r="AC236" s="48"/>
      <c r="AD236" s="48"/>
      <c r="AE236" s="48"/>
      <c r="AF236" s="48"/>
      <c r="AG236" s="48"/>
      <c r="AH236" s="48"/>
      <c r="AI236" s="48"/>
      <c r="AJ236" s="44"/>
      <c r="AK236" s="44"/>
      <c r="AL236" s="44"/>
    </row>
    <row r="237" spans="1:38" ht="27.6" x14ac:dyDescent="0.25">
      <c r="A237" s="94"/>
      <c r="B237" s="265" t="s">
        <v>1219</v>
      </c>
      <c r="C237" s="266" t="s">
        <v>632</v>
      </c>
      <c r="D237" s="265" t="s">
        <v>40</v>
      </c>
      <c r="E237" s="265" t="s">
        <v>633</v>
      </c>
      <c r="F237" s="267" t="s">
        <v>44</v>
      </c>
      <c r="G237" s="277">
        <v>1</v>
      </c>
      <c r="H237" s="268">
        <f t="shared" si="277"/>
        <v>32.909999999999997</v>
      </c>
      <c r="I237" s="287">
        <v>2.8</v>
      </c>
      <c r="J237" s="268">
        <f t="shared" si="270"/>
        <v>3.55</v>
      </c>
      <c r="K237" s="292">
        <v>30.11</v>
      </c>
      <c r="L237" s="268">
        <f t="shared" si="271"/>
        <v>38.200000000000003</v>
      </c>
      <c r="M237" s="268">
        <f t="shared" si="278"/>
        <v>41.75</v>
      </c>
      <c r="N237" s="268">
        <f t="shared" si="279"/>
        <v>3.55</v>
      </c>
      <c r="O237" s="268">
        <f t="shared" si="280"/>
        <v>38.200000000000003</v>
      </c>
      <c r="P237" s="268">
        <f t="shared" si="281"/>
        <v>41.75</v>
      </c>
      <c r="Q237" s="269">
        <f t="shared" si="276"/>
        <v>0</v>
      </c>
      <c r="R237" s="44"/>
      <c r="S237" s="49">
        <f t="shared" si="269"/>
        <v>32.909999999999997</v>
      </c>
      <c r="T237" s="126"/>
      <c r="U237" s="48"/>
      <c r="V237" s="48"/>
      <c r="W237" s="48"/>
      <c r="X237" s="48"/>
      <c r="Y237" s="48"/>
      <c r="Z237" s="48"/>
      <c r="AA237" s="48"/>
      <c r="AB237" s="48"/>
      <c r="AC237" s="48"/>
      <c r="AD237" s="48"/>
      <c r="AE237" s="48"/>
      <c r="AF237" s="48"/>
      <c r="AG237" s="48"/>
      <c r="AH237" s="48"/>
      <c r="AI237" s="48"/>
      <c r="AJ237" s="44"/>
      <c r="AK237" s="44"/>
      <c r="AL237" s="44"/>
    </row>
    <row r="238" spans="1:38" ht="27.6" x14ac:dyDescent="0.25">
      <c r="A238" s="94"/>
      <c r="B238" s="265" t="s">
        <v>1220</v>
      </c>
      <c r="C238" s="266" t="s">
        <v>397</v>
      </c>
      <c r="D238" s="265" t="s">
        <v>40</v>
      </c>
      <c r="E238" s="265" t="s">
        <v>398</v>
      </c>
      <c r="F238" s="267" t="s">
        <v>55</v>
      </c>
      <c r="G238" s="277">
        <v>299.39999999999998</v>
      </c>
      <c r="H238" s="268">
        <f t="shared" si="277"/>
        <v>20.190000000000001</v>
      </c>
      <c r="I238" s="287">
        <v>7.54</v>
      </c>
      <c r="J238" s="268">
        <f t="shared" si="270"/>
        <v>9.57</v>
      </c>
      <c r="K238" s="292">
        <v>12.65</v>
      </c>
      <c r="L238" s="268">
        <f t="shared" si="271"/>
        <v>16.05</v>
      </c>
      <c r="M238" s="268">
        <f t="shared" si="278"/>
        <v>25.62</v>
      </c>
      <c r="N238" s="268">
        <f t="shared" si="279"/>
        <v>2865.26</v>
      </c>
      <c r="O238" s="268">
        <f t="shared" si="280"/>
        <v>4805.37</v>
      </c>
      <c r="P238" s="268">
        <f t="shared" si="281"/>
        <v>7670.63</v>
      </c>
      <c r="Q238" s="269">
        <f t="shared" si="276"/>
        <v>3.0000000000000001E-3</v>
      </c>
      <c r="R238" s="44"/>
      <c r="S238" s="49">
        <f t="shared" si="269"/>
        <v>6044.89</v>
      </c>
      <c r="T238" s="126"/>
      <c r="U238" s="48"/>
      <c r="V238" s="48"/>
      <c r="W238" s="48"/>
      <c r="X238" s="48"/>
      <c r="Y238" s="48"/>
      <c r="Z238" s="48"/>
      <c r="AA238" s="48"/>
      <c r="AB238" s="48"/>
      <c r="AC238" s="48"/>
      <c r="AD238" s="48"/>
      <c r="AE238" s="48"/>
      <c r="AF238" s="48"/>
      <c r="AG238" s="48"/>
      <c r="AH238" s="48"/>
      <c r="AI238" s="48"/>
      <c r="AJ238" s="44"/>
      <c r="AK238" s="44"/>
      <c r="AL238" s="44"/>
    </row>
    <row r="239" spans="1:38" ht="27.6" x14ac:dyDescent="0.25">
      <c r="A239" s="94"/>
      <c r="B239" s="265" t="s">
        <v>1221</v>
      </c>
      <c r="C239" s="266" t="s">
        <v>196</v>
      </c>
      <c r="D239" s="265" t="s">
        <v>40</v>
      </c>
      <c r="E239" s="265" t="s">
        <v>197</v>
      </c>
      <c r="F239" s="267" t="s">
        <v>44</v>
      </c>
      <c r="G239" s="277">
        <v>39</v>
      </c>
      <c r="H239" s="268">
        <f t="shared" si="277"/>
        <v>8.69</v>
      </c>
      <c r="I239" s="287">
        <v>4.91</v>
      </c>
      <c r="J239" s="268">
        <f t="shared" si="270"/>
        <v>6.23</v>
      </c>
      <c r="K239" s="292">
        <v>3.78</v>
      </c>
      <c r="L239" s="268">
        <f t="shared" si="271"/>
        <v>4.8</v>
      </c>
      <c r="M239" s="268">
        <f t="shared" si="278"/>
        <v>11.03</v>
      </c>
      <c r="N239" s="268">
        <f t="shared" si="279"/>
        <v>242.97</v>
      </c>
      <c r="O239" s="268">
        <f t="shared" si="280"/>
        <v>187.2</v>
      </c>
      <c r="P239" s="268">
        <f t="shared" si="281"/>
        <v>430.17</v>
      </c>
      <c r="Q239" s="269">
        <f t="shared" si="276"/>
        <v>2.0000000000000001E-4</v>
      </c>
      <c r="R239" s="44"/>
      <c r="S239" s="49">
        <f t="shared" si="269"/>
        <v>338.91</v>
      </c>
      <c r="T239" s="126"/>
      <c r="U239" s="48"/>
      <c r="V239" s="48"/>
      <c r="W239" s="48"/>
      <c r="X239" s="48"/>
      <c r="Y239" s="48"/>
      <c r="Z239" s="48"/>
      <c r="AA239" s="48"/>
      <c r="AB239" s="48"/>
      <c r="AC239" s="48"/>
      <c r="AD239" s="48"/>
      <c r="AE239" s="48"/>
      <c r="AF239" s="48"/>
      <c r="AG239" s="48"/>
      <c r="AH239" s="48"/>
      <c r="AI239" s="48"/>
      <c r="AJ239" s="44"/>
      <c r="AK239" s="44"/>
      <c r="AL239" s="44"/>
    </row>
    <row r="240" spans="1:38" ht="27.6" x14ac:dyDescent="0.25">
      <c r="A240" s="94"/>
      <c r="B240" s="265" t="s">
        <v>1222</v>
      </c>
      <c r="C240" s="266" t="s">
        <v>166</v>
      </c>
      <c r="D240" s="265" t="s">
        <v>40</v>
      </c>
      <c r="E240" s="265" t="s">
        <v>167</v>
      </c>
      <c r="F240" s="267" t="s">
        <v>44</v>
      </c>
      <c r="G240" s="277">
        <v>20</v>
      </c>
      <c r="H240" s="268">
        <f t="shared" si="277"/>
        <v>17.64</v>
      </c>
      <c r="I240" s="287">
        <v>4.3600000000000003</v>
      </c>
      <c r="J240" s="268">
        <f t="shared" si="270"/>
        <v>5.53</v>
      </c>
      <c r="K240" s="292">
        <v>13.28</v>
      </c>
      <c r="L240" s="268">
        <f t="shared" si="271"/>
        <v>16.850000000000001</v>
      </c>
      <c r="M240" s="268">
        <f t="shared" si="278"/>
        <v>22.38</v>
      </c>
      <c r="N240" s="268">
        <f t="shared" si="279"/>
        <v>110.6</v>
      </c>
      <c r="O240" s="268">
        <f t="shared" si="280"/>
        <v>337</v>
      </c>
      <c r="P240" s="268">
        <f t="shared" si="281"/>
        <v>447.6</v>
      </c>
      <c r="Q240" s="269">
        <f t="shared" si="276"/>
        <v>2.0000000000000001E-4</v>
      </c>
      <c r="R240" s="44"/>
      <c r="S240" s="49">
        <f t="shared" si="269"/>
        <v>352.8</v>
      </c>
      <c r="T240" s="126"/>
      <c r="U240" s="48"/>
      <c r="V240" s="48"/>
      <c r="W240" s="48"/>
      <c r="X240" s="48"/>
      <c r="Y240" s="48"/>
      <c r="Z240" s="48"/>
      <c r="AA240" s="48"/>
      <c r="AB240" s="48"/>
      <c r="AC240" s="48"/>
      <c r="AD240" s="48"/>
      <c r="AE240" s="48"/>
      <c r="AF240" s="48"/>
      <c r="AG240" s="48"/>
      <c r="AH240" s="48"/>
      <c r="AI240" s="48"/>
      <c r="AJ240" s="44"/>
      <c r="AK240" s="44"/>
      <c r="AL240" s="44"/>
    </row>
    <row r="241" spans="1:38" ht="27.6" x14ac:dyDescent="0.25">
      <c r="A241" s="94"/>
      <c r="B241" s="265" t="s">
        <v>1223</v>
      </c>
      <c r="C241" s="266" t="s">
        <v>164</v>
      </c>
      <c r="D241" s="265" t="s">
        <v>40</v>
      </c>
      <c r="E241" s="265" t="s">
        <v>165</v>
      </c>
      <c r="F241" s="267" t="s">
        <v>44</v>
      </c>
      <c r="G241" s="277">
        <v>10</v>
      </c>
      <c r="H241" s="268">
        <f t="shared" si="277"/>
        <v>14.39</v>
      </c>
      <c r="I241" s="287">
        <v>4.7</v>
      </c>
      <c r="J241" s="268">
        <f t="shared" si="270"/>
        <v>5.96</v>
      </c>
      <c r="K241" s="292">
        <v>9.69</v>
      </c>
      <c r="L241" s="268">
        <f t="shared" si="271"/>
        <v>12.29</v>
      </c>
      <c r="M241" s="268">
        <f t="shared" si="278"/>
        <v>18.25</v>
      </c>
      <c r="N241" s="268">
        <f t="shared" si="279"/>
        <v>59.6</v>
      </c>
      <c r="O241" s="268">
        <f t="shared" si="280"/>
        <v>122.9</v>
      </c>
      <c r="P241" s="268">
        <f t="shared" si="281"/>
        <v>182.5</v>
      </c>
      <c r="Q241" s="269">
        <f t="shared" si="276"/>
        <v>1E-4</v>
      </c>
      <c r="R241" s="44"/>
      <c r="S241" s="49">
        <f t="shared" si="269"/>
        <v>143.9</v>
      </c>
      <c r="T241" s="126"/>
      <c r="U241" s="48"/>
      <c r="V241" s="48"/>
      <c r="W241" s="48"/>
      <c r="X241" s="48"/>
      <c r="Y241" s="48"/>
      <c r="Z241" s="48"/>
      <c r="AA241" s="48"/>
      <c r="AB241" s="48"/>
      <c r="AC241" s="48"/>
      <c r="AD241" s="48"/>
      <c r="AE241" s="48"/>
      <c r="AF241" s="48"/>
      <c r="AG241" s="48"/>
      <c r="AH241" s="48"/>
      <c r="AI241" s="48"/>
      <c r="AJ241" s="44"/>
      <c r="AK241" s="44"/>
      <c r="AL241" s="44"/>
    </row>
    <row r="242" spans="1:38" ht="27.6" x14ac:dyDescent="0.25">
      <c r="A242" s="94"/>
      <c r="B242" s="265" t="s">
        <v>1224</v>
      </c>
      <c r="C242" s="266" t="s">
        <v>159</v>
      </c>
      <c r="D242" s="265" t="s">
        <v>40</v>
      </c>
      <c r="E242" s="265" t="s">
        <v>160</v>
      </c>
      <c r="F242" s="267" t="s">
        <v>44</v>
      </c>
      <c r="G242" s="277">
        <v>55</v>
      </c>
      <c r="H242" s="268">
        <f t="shared" si="277"/>
        <v>11.38</v>
      </c>
      <c r="I242" s="287">
        <v>4.3499999999999996</v>
      </c>
      <c r="J242" s="268">
        <f t="shared" si="270"/>
        <v>5.52</v>
      </c>
      <c r="K242" s="292">
        <v>7.03</v>
      </c>
      <c r="L242" s="268">
        <f t="shared" si="271"/>
        <v>8.92</v>
      </c>
      <c r="M242" s="268">
        <f t="shared" si="278"/>
        <v>14.44</v>
      </c>
      <c r="N242" s="268">
        <f t="shared" si="279"/>
        <v>303.60000000000002</v>
      </c>
      <c r="O242" s="268">
        <f t="shared" si="280"/>
        <v>490.6</v>
      </c>
      <c r="P242" s="268">
        <f t="shared" si="281"/>
        <v>794.2</v>
      </c>
      <c r="Q242" s="269">
        <f t="shared" si="276"/>
        <v>2.9999999999999997E-4</v>
      </c>
      <c r="R242" s="44"/>
      <c r="S242" s="49">
        <f t="shared" si="269"/>
        <v>625.9</v>
      </c>
      <c r="T242" s="126"/>
      <c r="U242" s="48"/>
      <c r="V242" s="48"/>
      <c r="W242" s="48"/>
      <c r="X242" s="48"/>
      <c r="Y242" s="48"/>
      <c r="Z242" s="48"/>
      <c r="AA242" s="48"/>
      <c r="AB242" s="48"/>
      <c r="AC242" s="48"/>
      <c r="AD242" s="48"/>
      <c r="AE242" s="48"/>
      <c r="AF242" s="48"/>
      <c r="AG242" s="48"/>
      <c r="AH242" s="48"/>
      <c r="AI242" s="48"/>
      <c r="AJ242" s="44"/>
      <c r="AK242" s="44"/>
      <c r="AL242" s="44"/>
    </row>
    <row r="243" spans="1:38" ht="27.6" x14ac:dyDescent="0.25">
      <c r="A243" s="94"/>
      <c r="B243" s="265" t="s">
        <v>1225</v>
      </c>
      <c r="C243" s="266" t="s">
        <v>162</v>
      </c>
      <c r="D243" s="265" t="s">
        <v>40</v>
      </c>
      <c r="E243" s="265" t="s">
        <v>163</v>
      </c>
      <c r="F243" s="267" t="s">
        <v>44</v>
      </c>
      <c r="G243" s="277">
        <v>1</v>
      </c>
      <c r="H243" s="268">
        <f t="shared" si="277"/>
        <v>18.02</v>
      </c>
      <c r="I243" s="287">
        <v>5.8</v>
      </c>
      <c r="J243" s="268">
        <f t="shared" si="270"/>
        <v>7.36</v>
      </c>
      <c r="K243" s="292">
        <v>12.22</v>
      </c>
      <c r="L243" s="268">
        <f t="shared" si="271"/>
        <v>15.5</v>
      </c>
      <c r="M243" s="268">
        <f t="shared" si="278"/>
        <v>22.86</v>
      </c>
      <c r="N243" s="268">
        <f t="shared" si="279"/>
        <v>7.36</v>
      </c>
      <c r="O243" s="268">
        <f t="shared" si="280"/>
        <v>15.5</v>
      </c>
      <c r="P243" s="268">
        <f t="shared" si="281"/>
        <v>22.86</v>
      </c>
      <c r="Q243" s="269">
        <f t="shared" si="276"/>
        <v>0</v>
      </c>
      <c r="R243" s="44"/>
      <c r="S243" s="49">
        <f t="shared" si="269"/>
        <v>18.02</v>
      </c>
      <c r="T243" s="126"/>
      <c r="U243" s="48"/>
      <c r="V243" s="48"/>
      <c r="W243" s="48"/>
      <c r="X243" s="48"/>
      <c r="Y243" s="48"/>
      <c r="Z243" s="48"/>
      <c r="AA243" s="48"/>
      <c r="AB243" s="48"/>
      <c r="AC243" s="48"/>
      <c r="AD243" s="48"/>
      <c r="AE243" s="48"/>
      <c r="AF243" s="48"/>
      <c r="AG243" s="48"/>
      <c r="AH243" s="48"/>
      <c r="AI243" s="48"/>
      <c r="AJ243" s="44"/>
      <c r="AK243" s="44"/>
      <c r="AL243" s="44"/>
    </row>
    <row r="244" spans="1:38" ht="41.4" x14ac:dyDescent="0.25">
      <c r="A244" s="94"/>
      <c r="B244" s="265" t="s">
        <v>1226</v>
      </c>
      <c r="C244" s="266" t="s">
        <v>1474</v>
      </c>
      <c r="D244" s="265" t="s">
        <v>40</v>
      </c>
      <c r="E244" s="265" t="s">
        <v>1475</v>
      </c>
      <c r="F244" s="267" t="s">
        <v>44</v>
      </c>
      <c r="G244" s="277">
        <v>1</v>
      </c>
      <c r="H244" s="268">
        <f t="shared" si="277"/>
        <v>8.17</v>
      </c>
      <c r="I244" s="287">
        <v>2.5299999999999998</v>
      </c>
      <c r="J244" s="268">
        <f t="shared" si="270"/>
        <v>3.21</v>
      </c>
      <c r="K244" s="292">
        <v>5.64</v>
      </c>
      <c r="L244" s="268">
        <f t="shared" si="271"/>
        <v>7.16</v>
      </c>
      <c r="M244" s="268">
        <f t="shared" si="278"/>
        <v>10.37</v>
      </c>
      <c r="N244" s="268">
        <f t="shared" si="279"/>
        <v>3.21</v>
      </c>
      <c r="O244" s="268">
        <f t="shared" si="280"/>
        <v>7.16</v>
      </c>
      <c r="P244" s="268">
        <f t="shared" si="281"/>
        <v>10.37</v>
      </c>
      <c r="Q244" s="269">
        <f t="shared" si="276"/>
        <v>0</v>
      </c>
      <c r="R244" s="44"/>
      <c r="S244" s="49">
        <f t="shared" si="269"/>
        <v>8.17</v>
      </c>
      <c r="T244" s="126"/>
      <c r="U244" s="48"/>
      <c r="V244" s="48"/>
      <c r="W244" s="48"/>
      <c r="X244" s="48"/>
      <c r="Y244" s="48"/>
      <c r="Z244" s="48"/>
      <c r="AA244" s="48"/>
      <c r="AB244" s="48"/>
      <c r="AC244" s="48"/>
      <c r="AD244" s="48"/>
      <c r="AE244" s="48"/>
      <c r="AF244" s="48"/>
      <c r="AG244" s="48"/>
      <c r="AH244" s="48"/>
      <c r="AI244" s="48"/>
      <c r="AJ244" s="44"/>
      <c r="AK244" s="44"/>
      <c r="AL244" s="44"/>
    </row>
    <row r="245" spans="1:38" x14ac:dyDescent="0.25">
      <c r="A245" s="94"/>
      <c r="B245" s="265" t="s">
        <v>1227</v>
      </c>
      <c r="C245" s="266" t="s">
        <v>852</v>
      </c>
      <c r="D245" s="265" t="s">
        <v>100</v>
      </c>
      <c r="E245" s="265" t="s">
        <v>853</v>
      </c>
      <c r="F245" s="267" t="s">
        <v>44</v>
      </c>
      <c r="G245" s="277">
        <v>1</v>
      </c>
      <c r="H245" s="268">
        <f>CPUS!L117</f>
        <v>12794.9</v>
      </c>
      <c r="I245" s="287">
        <f>CPUS!H121</f>
        <v>179.9</v>
      </c>
      <c r="J245" s="268">
        <f>I245*(1+$M$12)</f>
        <v>214.21</v>
      </c>
      <c r="K245" s="292">
        <f>H245-I245</f>
        <v>12615</v>
      </c>
      <c r="L245" s="268">
        <f>K245*(1+$M$12)</f>
        <v>15020.68</v>
      </c>
      <c r="M245" s="268">
        <f t="shared" si="278"/>
        <v>15234.89</v>
      </c>
      <c r="N245" s="268">
        <f t="shared" si="279"/>
        <v>214.21</v>
      </c>
      <c r="O245" s="268">
        <f t="shared" si="280"/>
        <v>15020.68</v>
      </c>
      <c r="P245" s="268">
        <f t="shared" si="281"/>
        <v>15234.89</v>
      </c>
      <c r="Q245" s="269">
        <f t="shared" si="276"/>
        <v>6.0000000000000001E-3</v>
      </c>
      <c r="R245" s="44"/>
      <c r="S245" s="49">
        <f t="shared" si="269"/>
        <v>12794.9</v>
      </c>
      <c r="T245" s="126"/>
      <c r="U245" s="48"/>
      <c r="V245" s="48"/>
      <c r="W245" s="48"/>
      <c r="X245" s="48"/>
      <c r="Y245" s="48"/>
      <c r="Z245" s="48"/>
      <c r="AA245" s="48"/>
      <c r="AB245" s="48"/>
      <c r="AC245" s="48"/>
      <c r="AD245" s="48"/>
      <c r="AE245" s="48"/>
      <c r="AF245" s="48"/>
      <c r="AG245" s="48"/>
      <c r="AH245" s="48"/>
      <c r="AI245" s="48"/>
      <c r="AJ245" s="44"/>
      <c r="AK245" s="44"/>
      <c r="AL245" s="44"/>
    </row>
    <row r="246" spans="1:38" x14ac:dyDescent="0.25">
      <c r="A246" s="94"/>
      <c r="B246" s="265" t="s">
        <v>1228</v>
      </c>
      <c r="C246" s="266" t="s">
        <v>1097</v>
      </c>
      <c r="D246" s="265" t="s">
        <v>199</v>
      </c>
      <c r="E246" s="265" t="s">
        <v>1098</v>
      </c>
      <c r="F246" s="267" t="s">
        <v>168</v>
      </c>
      <c r="G246" s="277">
        <v>1</v>
      </c>
      <c r="H246" s="268">
        <v>10418.33</v>
      </c>
      <c r="I246" s="287">
        <f>74.28+27.08</f>
        <v>101.36</v>
      </c>
      <c r="J246" s="268">
        <f>I246*(1+$M$12)</f>
        <v>120.69</v>
      </c>
      <c r="K246" s="292">
        <f>H246-I246</f>
        <v>10316.969999999999</v>
      </c>
      <c r="L246" s="268">
        <f>K246*(1+$M$12)</f>
        <v>12284.42</v>
      </c>
      <c r="M246" s="268">
        <f t="shared" si="278"/>
        <v>12405.11</v>
      </c>
      <c r="N246" s="268">
        <f t="shared" si="279"/>
        <v>120.69</v>
      </c>
      <c r="O246" s="268">
        <f t="shared" si="280"/>
        <v>12284.42</v>
      </c>
      <c r="P246" s="268">
        <f t="shared" si="281"/>
        <v>12405.11</v>
      </c>
      <c r="Q246" s="269">
        <f t="shared" si="276"/>
        <v>4.8999999999999998E-3</v>
      </c>
      <c r="R246" s="44"/>
      <c r="S246" s="49">
        <f t="shared" si="269"/>
        <v>10418.33</v>
      </c>
      <c r="T246" s="126"/>
      <c r="U246" s="48"/>
      <c r="V246" s="48"/>
      <c r="W246" s="48"/>
      <c r="X246" s="48"/>
      <c r="Y246" s="48"/>
      <c r="Z246" s="48"/>
      <c r="AA246" s="48"/>
      <c r="AB246" s="48"/>
      <c r="AC246" s="48"/>
      <c r="AD246" s="48"/>
      <c r="AE246" s="48"/>
      <c r="AF246" s="48"/>
      <c r="AG246" s="48"/>
      <c r="AH246" s="48"/>
      <c r="AI246" s="48"/>
      <c r="AJ246" s="44"/>
      <c r="AK246" s="44"/>
      <c r="AL246" s="44"/>
    </row>
    <row r="247" spans="1:38" ht="27.6" x14ac:dyDescent="0.25">
      <c r="A247" s="94"/>
      <c r="B247" s="265" t="s">
        <v>1229</v>
      </c>
      <c r="C247" s="266" t="s">
        <v>1476</v>
      </c>
      <c r="D247" s="265" t="s">
        <v>40</v>
      </c>
      <c r="E247" s="265" t="s">
        <v>1477</v>
      </c>
      <c r="F247" s="267" t="s">
        <v>44</v>
      </c>
      <c r="G247" s="277">
        <v>2</v>
      </c>
      <c r="H247" s="268">
        <f t="shared" si="277"/>
        <v>45.74</v>
      </c>
      <c r="I247" s="287">
        <v>2.61</v>
      </c>
      <c r="J247" s="268">
        <f t="shared" si="270"/>
        <v>3.31</v>
      </c>
      <c r="K247" s="292">
        <v>43.13</v>
      </c>
      <c r="L247" s="268">
        <f t="shared" si="271"/>
        <v>54.72</v>
      </c>
      <c r="M247" s="268">
        <f t="shared" si="278"/>
        <v>58.03</v>
      </c>
      <c r="N247" s="268">
        <f t="shared" si="279"/>
        <v>6.62</v>
      </c>
      <c r="O247" s="268">
        <f t="shared" si="280"/>
        <v>109.44</v>
      </c>
      <c r="P247" s="268">
        <f t="shared" si="281"/>
        <v>116.06</v>
      </c>
      <c r="Q247" s="269">
        <f t="shared" si="276"/>
        <v>0</v>
      </c>
      <c r="R247" s="44"/>
      <c r="S247" s="49">
        <f t="shared" si="269"/>
        <v>91.48</v>
      </c>
      <c r="T247" s="126"/>
      <c r="U247" s="48"/>
      <c r="V247" s="48"/>
      <c r="W247" s="48"/>
      <c r="X247" s="48"/>
      <c r="Y247" s="48"/>
      <c r="Z247" s="48"/>
      <c r="AA247" s="48"/>
      <c r="AB247" s="48"/>
      <c r="AC247" s="48"/>
      <c r="AD247" s="48"/>
      <c r="AE247" s="48"/>
      <c r="AF247" s="48"/>
      <c r="AG247" s="48"/>
      <c r="AH247" s="48"/>
      <c r="AI247" s="48"/>
      <c r="AJ247" s="44"/>
      <c r="AK247" s="44"/>
      <c r="AL247" s="44"/>
    </row>
    <row r="248" spans="1:38" x14ac:dyDescent="0.25">
      <c r="A248" s="94"/>
      <c r="B248" s="265" t="s">
        <v>1230</v>
      </c>
      <c r="C248" s="266" t="s">
        <v>1478</v>
      </c>
      <c r="D248" s="265" t="s">
        <v>199</v>
      </c>
      <c r="E248" s="265" t="s">
        <v>1479</v>
      </c>
      <c r="F248" s="267" t="s">
        <v>168</v>
      </c>
      <c r="G248" s="277">
        <v>1</v>
      </c>
      <c r="H248" s="268">
        <v>156.35</v>
      </c>
      <c r="I248" s="287">
        <f>8.36+12.19</f>
        <v>20.55</v>
      </c>
      <c r="J248" s="268">
        <f t="shared" si="270"/>
        <v>26.07</v>
      </c>
      <c r="K248" s="292">
        <f>H248-I248</f>
        <v>135.80000000000001</v>
      </c>
      <c r="L248" s="268">
        <f t="shared" si="271"/>
        <v>172.29</v>
      </c>
      <c r="M248" s="268">
        <f t="shared" si="278"/>
        <v>198.36</v>
      </c>
      <c r="N248" s="268">
        <f t="shared" si="279"/>
        <v>26.07</v>
      </c>
      <c r="O248" s="268">
        <f t="shared" si="280"/>
        <v>172.29</v>
      </c>
      <c r="P248" s="268">
        <f t="shared" si="281"/>
        <v>198.36</v>
      </c>
      <c r="Q248" s="269">
        <f t="shared" si="276"/>
        <v>1E-4</v>
      </c>
      <c r="R248" s="44"/>
      <c r="S248" s="49">
        <f t="shared" si="269"/>
        <v>156.35</v>
      </c>
      <c r="T248" s="126"/>
      <c r="U248" s="48"/>
      <c r="V248" s="48"/>
      <c r="W248" s="48"/>
      <c r="X248" s="48"/>
      <c r="Y248" s="48"/>
      <c r="Z248" s="48"/>
      <c r="AA248" s="48"/>
      <c r="AB248" s="48"/>
      <c r="AC248" s="48"/>
      <c r="AD248" s="48"/>
      <c r="AE248" s="48"/>
      <c r="AF248" s="48"/>
      <c r="AG248" s="48"/>
      <c r="AH248" s="48"/>
      <c r="AI248" s="48"/>
      <c r="AJ248" s="44"/>
      <c r="AK248" s="44"/>
      <c r="AL248" s="44"/>
    </row>
    <row r="249" spans="1:38" ht="27.6" x14ac:dyDescent="0.25">
      <c r="A249" s="94"/>
      <c r="B249" s="265" t="s">
        <v>1231</v>
      </c>
      <c r="C249" s="266" t="s">
        <v>1480</v>
      </c>
      <c r="D249" s="265" t="s">
        <v>40</v>
      </c>
      <c r="E249" s="265" t="s">
        <v>1481</v>
      </c>
      <c r="F249" s="267" t="s">
        <v>44</v>
      </c>
      <c r="G249" s="277">
        <v>4</v>
      </c>
      <c r="H249" s="268">
        <f t="shared" si="277"/>
        <v>7.01</v>
      </c>
      <c r="I249" s="287">
        <v>3.29</v>
      </c>
      <c r="J249" s="268">
        <f t="shared" si="270"/>
        <v>4.17</v>
      </c>
      <c r="K249" s="292">
        <v>3.72</v>
      </c>
      <c r="L249" s="268">
        <f t="shared" si="271"/>
        <v>4.72</v>
      </c>
      <c r="M249" s="268">
        <f t="shared" si="278"/>
        <v>8.89</v>
      </c>
      <c r="N249" s="268">
        <f t="shared" si="279"/>
        <v>16.68</v>
      </c>
      <c r="O249" s="268">
        <f t="shared" si="280"/>
        <v>18.88</v>
      </c>
      <c r="P249" s="268">
        <f t="shared" si="281"/>
        <v>35.56</v>
      </c>
      <c r="Q249" s="269">
        <f t="shared" si="276"/>
        <v>0</v>
      </c>
      <c r="R249" s="44"/>
      <c r="S249" s="49">
        <f t="shared" si="269"/>
        <v>28.04</v>
      </c>
      <c r="T249" s="126"/>
      <c r="U249" s="48"/>
      <c r="V249" s="48"/>
      <c r="W249" s="48"/>
      <c r="X249" s="48"/>
      <c r="Y249" s="48"/>
      <c r="Z249" s="48"/>
      <c r="AA249" s="48"/>
      <c r="AB249" s="48"/>
      <c r="AC249" s="48"/>
      <c r="AD249" s="48"/>
      <c r="AE249" s="48"/>
      <c r="AF249" s="48"/>
      <c r="AG249" s="48"/>
      <c r="AH249" s="48"/>
      <c r="AI249" s="48"/>
      <c r="AJ249" s="44"/>
      <c r="AK249" s="44"/>
      <c r="AL249" s="44"/>
    </row>
    <row r="250" spans="1:38" ht="27.6" x14ac:dyDescent="0.25">
      <c r="A250" s="94"/>
      <c r="B250" s="265" t="s">
        <v>1232</v>
      </c>
      <c r="C250" s="266">
        <v>103948</v>
      </c>
      <c r="D250" s="265" t="s">
        <v>40</v>
      </c>
      <c r="E250" s="265" t="s">
        <v>634</v>
      </c>
      <c r="F250" s="267" t="s">
        <v>44</v>
      </c>
      <c r="G250" s="277">
        <v>1</v>
      </c>
      <c r="H250" s="268">
        <f t="shared" si="277"/>
        <v>6.71</v>
      </c>
      <c r="I250" s="287">
        <v>3.71</v>
      </c>
      <c r="J250" s="268">
        <f t="shared" si="270"/>
        <v>4.71</v>
      </c>
      <c r="K250" s="292">
        <v>3</v>
      </c>
      <c r="L250" s="268">
        <f t="shared" si="271"/>
        <v>3.81</v>
      </c>
      <c r="M250" s="268">
        <f t="shared" si="278"/>
        <v>8.52</v>
      </c>
      <c r="N250" s="268">
        <f t="shared" si="279"/>
        <v>4.71</v>
      </c>
      <c r="O250" s="268">
        <f t="shared" si="280"/>
        <v>3.81</v>
      </c>
      <c r="P250" s="268">
        <f t="shared" si="281"/>
        <v>8.52</v>
      </c>
      <c r="Q250" s="269">
        <f t="shared" si="276"/>
        <v>0</v>
      </c>
      <c r="R250" s="44"/>
      <c r="S250" s="49">
        <f t="shared" si="269"/>
        <v>6.71</v>
      </c>
      <c r="T250" s="126"/>
      <c r="U250" s="48"/>
      <c r="V250" s="48"/>
      <c r="W250" s="48"/>
      <c r="X250" s="48"/>
      <c r="Y250" s="48"/>
      <c r="Z250" s="48"/>
      <c r="AA250" s="48"/>
      <c r="AB250" s="48"/>
      <c r="AC250" s="48"/>
      <c r="AD250" s="48"/>
      <c r="AE250" s="48"/>
      <c r="AF250" s="48"/>
      <c r="AG250" s="48"/>
      <c r="AH250" s="48"/>
      <c r="AI250" s="48"/>
      <c r="AJ250" s="44"/>
      <c r="AK250" s="44"/>
      <c r="AL250" s="44"/>
    </row>
    <row r="251" spans="1:38" ht="27.6" x14ac:dyDescent="0.25">
      <c r="A251" s="94"/>
      <c r="B251" s="265" t="s">
        <v>1233</v>
      </c>
      <c r="C251" s="266" t="s">
        <v>635</v>
      </c>
      <c r="D251" s="265" t="s">
        <v>40</v>
      </c>
      <c r="E251" s="265" t="s">
        <v>636</v>
      </c>
      <c r="F251" s="267" t="s">
        <v>44</v>
      </c>
      <c r="G251" s="277">
        <v>6</v>
      </c>
      <c r="H251" s="268">
        <f t="shared" si="277"/>
        <v>14.18</v>
      </c>
      <c r="I251" s="287">
        <v>5.36</v>
      </c>
      <c r="J251" s="268">
        <f t="shared" si="270"/>
        <v>6.8</v>
      </c>
      <c r="K251" s="292">
        <v>8.82</v>
      </c>
      <c r="L251" s="268">
        <f t="shared" si="271"/>
        <v>11.19</v>
      </c>
      <c r="M251" s="268">
        <f t="shared" si="278"/>
        <v>17.989999999999998</v>
      </c>
      <c r="N251" s="268">
        <f t="shared" si="279"/>
        <v>40.799999999999997</v>
      </c>
      <c r="O251" s="268">
        <f t="shared" si="280"/>
        <v>67.14</v>
      </c>
      <c r="P251" s="268">
        <f t="shared" si="281"/>
        <v>107.94</v>
      </c>
      <c r="Q251" s="269">
        <f t="shared" si="276"/>
        <v>0</v>
      </c>
      <c r="R251" s="44"/>
      <c r="S251" s="49">
        <f t="shared" si="269"/>
        <v>85.08</v>
      </c>
      <c r="T251" s="126"/>
      <c r="U251" s="48"/>
      <c r="V251" s="48"/>
      <c r="W251" s="48"/>
      <c r="X251" s="48"/>
      <c r="Y251" s="48"/>
      <c r="Z251" s="48"/>
      <c r="AA251" s="48"/>
      <c r="AB251" s="48"/>
      <c r="AC251" s="48"/>
      <c r="AD251" s="48"/>
      <c r="AE251" s="48"/>
      <c r="AF251" s="48"/>
      <c r="AG251" s="48"/>
      <c r="AH251" s="48"/>
      <c r="AI251" s="48"/>
      <c r="AJ251" s="44"/>
      <c r="AK251" s="44"/>
      <c r="AL251" s="44"/>
    </row>
    <row r="252" spans="1:38" x14ac:dyDescent="0.25">
      <c r="A252" s="94"/>
      <c r="B252" s="265" t="s">
        <v>1234</v>
      </c>
      <c r="C252" s="266" t="s">
        <v>1482</v>
      </c>
      <c r="D252" s="265" t="s">
        <v>199</v>
      </c>
      <c r="E252" s="265" t="s">
        <v>1483</v>
      </c>
      <c r="F252" s="267" t="s">
        <v>168</v>
      </c>
      <c r="G252" s="277">
        <v>1</v>
      </c>
      <c r="H252" s="268">
        <v>403.98</v>
      </c>
      <c r="I252" s="287">
        <f>23.21+33.85</f>
        <v>57.06</v>
      </c>
      <c r="J252" s="268">
        <f t="shared" si="270"/>
        <v>72.39</v>
      </c>
      <c r="K252" s="292">
        <f>H252-I252</f>
        <v>346.92</v>
      </c>
      <c r="L252" s="268">
        <f t="shared" si="271"/>
        <v>440.14</v>
      </c>
      <c r="M252" s="268">
        <f t="shared" si="278"/>
        <v>512.53</v>
      </c>
      <c r="N252" s="268">
        <f t="shared" si="279"/>
        <v>72.39</v>
      </c>
      <c r="O252" s="268">
        <f t="shared" si="280"/>
        <v>440.14</v>
      </c>
      <c r="P252" s="268">
        <f t="shared" si="281"/>
        <v>512.53</v>
      </c>
      <c r="Q252" s="269">
        <f t="shared" si="276"/>
        <v>2.0000000000000001E-4</v>
      </c>
      <c r="R252" s="44"/>
      <c r="S252" s="49">
        <f t="shared" si="269"/>
        <v>403.98</v>
      </c>
      <c r="T252" s="126"/>
      <c r="U252" s="48"/>
      <c r="V252" s="48"/>
      <c r="W252" s="48"/>
      <c r="X252" s="48"/>
      <c r="Y252" s="48"/>
      <c r="Z252" s="48"/>
      <c r="AA252" s="48"/>
      <c r="AB252" s="48"/>
      <c r="AC252" s="48"/>
      <c r="AD252" s="48"/>
      <c r="AE252" s="48"/>
      <c r="AF252" s="48"/>
      <c r="AG252" s="48"/>
      <c r="AH252" s="48"/>
      <c r="AI252" s="48"/>
      <c r="AJ252" s="44"/>
      <c r="AK252" s="44"/>
      <c r="AL252" s="44"/>
    </row>
    <row r="253" spans="1:38" ht="27.6" x14ac:dyDescent="0.25">
      <c r="A253" s="94"/>
      <c r="B253" s="265" t="s">
        <v>1235</v>
      </c>
      <c r="C253" s="266" t="s">
        <v>637</v>
      </c>
      <c r="D253" s="265" t="s">
        <v>40</v>
      </c>
      <c r="E253" s="265" t="s">
        <v>638</v>
      </c>
      <c r="F253" s="267" t="s">
        <v>55</v>
      </c>
      <c r="G253" s="277">
        <v>12.4</v>
      </c>
      <c r="H253" s="268">
        <f t="shared" si="277"/>
        <v>28.06</v>
      </c>
      <c r="I253" s="287">
        <v>15.05</v>
      </c>
      <c r="J253" s="268">
        <f t="shared" si="270"/>
        <v>19.09</v>
      </c>
      <c r="K253" s="292">
        <v>13.01</v>
      </c>
      <c r="L253" s="268">
        <f t="shared" si="271"/>
        <v>16.510000000000002</v>
      </c>
      <c r="M253" s="268">
        <f t="shared" si="278"/>
        <v>35.6</v>
      </c>
      <c r="N253" s="268">
        <f t="shared" si="279"/>
        <v>236.72</v>
      </c>
      <c r="O253" s="268">
        <f t="shared" si="280"/>
        <v>204.72</v>
      </c>
      <c r="P253" s="268">
        <f t="shared" si="281"/>
        <v>441.44</v>
      </c>
      <c r="Q253" s="269">
        <f t="shared" si="276"/>
        <v>2.0000000000000001E-4</v>
      </c>
      <c r="R253" s="44"/>
      <c r="S253" s="49">
        <f t="shared" si="269"/>
        <v>347.94</v>
      </c>
      <c r="T253" s="126"/>
      <c r="U253" s="48"/>
      <c r="V253" s="48"/>
      <c r="W253" s="48"/>
      <c r="X253" s="48"/>
      <c r="Y253" s="48"/>
      <c r="Z253" s="48"/>
      <c r="AA253" s="48"/>
      <c r="AB253" s="48"/>
      <c r="AC253" s="48"/>
      <c r="AD253" s="48"/>
      <c r="AE253" s="48"/>
      <c r="AF253" s="48"/>
      <c r="AG253" s="48"/>
      <c r="AH253" s="48"/>
      <c r="AI253" s="48"/>
      <c r="AJ253" s="44"/>
      <c r="AK253" s="44"/>
      <c r="AL253" s="44"/>
    </row>
    <row r="254" spans="1:38" ht="27.6" x14ac:dyDescent="0.25">
      <c r="A254" s="94"/>
      <c r="B254" s="265" t="s">
        <v>1236</v>
      </c>
      <c r="C254" s="266">
        <v>89400</v>
      </c>
      <c r="D254" s="265" t="s">
        <v>40</v>
      </c>
      <c r="E254" s="265" t="s">
        <v>639</v>
      </c>
      <c r="F254" s="267" t="s">
        <v>44</v>
      </c>
      <c r="G254" s="277">
        <v>1</v>
      </c>
      <c r="H254" s="268">
        <f t="shared" si="277"/>
        <v>17.36</v>
      </c>
      <c r="I254" s="287">
        <v>7.38</v>
      </c>
      <c r="J254" s="268">
        <f t="shared" si="270"/>
        <v>9.36</v>
      </c>
      <c r="K254" s="292">
        <v>9.98</v>
      </c>
      <c r="L254" s="268">
        <f t="shared" si="271"/>
        <v>12.66</v>
      </c>
      <c r="M254" s="268">
        <f t="shared" si="278"/>
        <v>22.02</v>
      </c>
      <c r="N254" s="268">
        <f t="shared" si="279"/>
        <v>9.36</v>
      </c>
      <c r="O254" s="268">
        <f t="shared" si="280"/>
        <v>12.66</v>
      </c>
      <c r="P254" s="268">
        <f t="shared" si="281"/>
        <v>22.02</v>
      </c>
      <c r="Q254" s="269">
        <f t="shared" si="276"/>
        <v>0</v>
      </c>
      <c r="R254" s="44"/>
      <c r="S254" s="49">
        <f t="shared" si="269"/>
        <v>17.36</v>
      </c>
      <c r="T254" s="126"/>
      <c r="U254" s="48"/>
      <c r="V254" s="48"/>
      <c r="W254" s="48"/>
      <c r="X254" s="48"/>
      <c r="Y254" s="48"/>
      <c r="Z254" s="48"/>
      <c r="AA254" s="48"/>
      <c r="AB254" s="48"/>
      <c r="AC254" s="48"/>
      <c r="AD254" s="48"/>
      <c r="AE254" s="48"/>
      <c r="AF254" s="48"/>
      <c r="AG254" s="48"/>
      <c r="AH254" s="48"/>
      <c r="AI254" s="48"/>
      <c r="AJ254" s="44"/>
      <c r="AK254" s="44"/>
      <c r="AL254" s="44"/>
    </row>
    <row r="255" spans="1:38" x14ac:dyDescent="0.25">
      <c r="A255" s="94"/>
      <c r="B255" s="265" t="s">
        <v>1237</v>
      </c>
      <c r="C255" s="266" t="s">
        <v>1484</v>
      </c>
      <c r="D255" s="265" t="s">
        <v>100</v>
      </c>
      <c r="E255" s="265" t="s">
        <v>1485</v>
      </c>
      <c r="F255" s="267" t="s">
        <v>44</v>
      </c>
      <c r="G255" s="277">
        <v>1</v>
      </c>
      <c r="H255" s="268">
        <f>CPUS!L125</f>
        <v>4149.8999999999996</v>
      </c>
      <c r="I255" s="287">
        <f>CPUS!H129</f>
        <v>179.9</v>
      </c>
      <c r="J255" s="268">
        <f>I255*(1+$M$12)</f>
        <v>214.21</v>
      </c>
      <c r="K255" s="292">
        <f>H255-I255</f>
        <v>3970</v>
      </c>
      <c r="L255" s="268">
        <f>K255*(1+$M$12)</f>
        <v>4727.08</v>
      </c>
      <c r="M255" s="268">
        <f t="shared" si="278"/>
        <v>4941.29</v>
      </c>
      <c r="N255" s="268">
        <f t="shared" si="279"/>
        <v>214.21</v>
      </c>
      <c r="O255" s="268">
        <f t="shared" si="280"/>
        <v>4727.08</v>
      </c>
      <c r="P255" s="268">
        <f t="shared" si="281"/>
        <v>4941.29</v>
      </c>
      <c r="Q255" s="269">
        <f t="shared" si="276"/>
        <v>2E-3</v>
      </c>
      <c r="R255" s="44"/>
      <c r="S255" s="49">
        <f t="shared" si="269"/>
        <v>4149.8999999999996</v>
      </c>
      <c r="T255" s="126"/>
      <c r="U255" s="48"/>
      <c r="V255" s="48"/>
      <c r="W255" s="48"/>
      <c r="X255" s="48"/>
      <c r="Y255" s="48"/>
      <c r="Z255" s="48"/>
      <c r="AA255" s="48"/>
      <c r="AB255" s="48"/>
      <c r="AC255" s="48"/>
      <c r="AD255" s="48"/>
      <c r="AE255" s="48"/>
      <c r="AF255" s="48"/>
      <c r="AG255" s="48"/>
      <c r="AH255" s="48"/>
      <c r="AI255" s="48"/>
      <c r="AJ255" s="44"/>
      <c r="AK255" s="44"/>
      <c r="AL255" s="44"/>
    </row>
    <row r="256" spans="1:38" ht="27.6" x14ac:dyDescent="0.25">
      <c r="A256" s="94"/>
      <c r="B256" s="265" t="s">
        <v>1238</v>
      </c>
      <c r="C256" s="266" t="s">
        <v>640</v>
      </c>
      <c r="D256" s="265" t="s">
        <v>199</v>
      </c>
      <c r="E256" s="265" t="s">
        <v>764</v>
      </c>
      <c r="F256" s="267" t="s">
        <v>393</v>
      </c>
      <c r="G256" s="277">
        <v>1</v>
      </c>
      <c r="H256" s="268">
        <v>7124.29</v>
      </c>
      <c r="I256" s="287">
        <f>46.43+27.08</f>
        <v>73.510000000000005</v>
      </c>
      <c r="J256" s="268">
        <f>I256*(1+$M$12)</f>
        <v>87.53</v>
      </c>
      <c r="K256" s="292">
        <f>H256-I256</f>
        <v>7050.78</v>
      </c>
      <c r="L256" s="268">
        <f>K256*(1+$M$12)</f>
        <v>8395.36</v>
      </c>
      <c r="M256" s="268">
        <f t="shared" si="278"/>
        <v>8482.89</v>
      </c>
      <c r="N256" s="268">
        <f t="shared" si="279"/>
        <v>87.53</v>
      </c>
      <c r="O256" s="268">
        <f t="shared" si="280"/>
        <v>8395.36</v>
      </c>
      <c r="P256" s="268">
        <f t="shared" si="281"/>
        <v>8482.89</v>
      </c>
      <c r="Q256" s="269">
        <f t="shared" si="276"/>
        <v>3.3999999999999998E-3</v>
      </c>
      <c r="R256" s="44"/>
      <c r="S256" s="49">
        <f t="shared" si="269"/>
        <v>7124.29</v>
      </c>
      <c r="T256" s="126"/>
      <c r="U256" s="48"/>
      <c r="V256" s="48"/>
      <c r="W256" s="48"/>
      <c r="X256" s="48"/>
      <c r="Y256" s="48"/>
      <c r="Z256" s="48"/>
      <c r="AA256" s="48"/>
      <c r="AB256" s="48"/>
      <c r="AC256" s="48"/>
      <c r="AD256" s="48"/>
      <c r="AE256" s="48"/>
      <c r="AF256" s="48"/>
      <c r="AG256" s="48"/>
      <c r="AH256" s="48"/>
      <c r="AI256" s="48"/>
      <c r="AJ256" s="44"/>
      <c r="AK256" s="44"/>
      <c r="AL256" s="44"/>
    </row>
    <row r="257" spans="1:38" x14ac:dyDescent="0.25">
      <c r="A257" s="94"/>
      <c r="B257" s="261" t="s">
        <v>1239</v>
      </c>
      <c r="C257" s="261"/>
      <c r="D257" s="261"/>
      <c r="E257" s="261" t="s">
        <v>180</v>
      </c>
      <c r="F257" s="261"/>
      <c r="G257" s="276"/>
      <c r="H257" s="262"/>
      <c r="I257" s="286"/>
      <c r="J257" s="261"/>
      <c r="K257" s="291"/>
      <c r="L257" s="261"/>
      <c r="M257" s="261"/>
      <c r="N257" s="261"/>
      <c r="O257" s="261"/>
      <c r="P257" s="263"/>
      <c r="Q257" s="263"/>
      <c r="R257" s="44"/>
      <c r="S257" s="49">
        <f t="shared" si="269"/>
        <v>0</v>
      </c>
      <c r="T257" s="126"/>
      <c r="U257" s="48"/>
      <c r="V257" s="48"/>
      <c r="W257" s="48"/>
      <c r="X257" s="48"/>
      <c r="Y257" s="48"/>
      <c r="Z257" s="48"/>
      <c r="AA257" s="48"/>
      <c r="AB257" s="48"/>
      <c r="AC257" s="48"/>
      <c r="AD257" s="48"/>
      <c r="AE257" s="48"/>
      <c r="AF257" s="48"/>
      <c r="AG257" s="48"/>
      <c r="AH257" s="48"/>
      <c r="AI257" s="48"/>
      <c r="AJ257" s="44"/>
      <c r="AK257" s="44"/>
      <c r="AL257" s="44"/>
    </row>
    <row r="258" spans="1:38" x14ac:dyDescent="0.25">
      <c r="A258" s="94"/>
      <c r="B258" s="265" t="s">
        <v>1240</v>
      </c>
      <c r="C258" s="266" t="s">
        <v>1102</v>
      </c>
      <c r="D258" s="265" t="s">
        <v>146</v>
      </c>
      <c r="E258" s="265" t="s">
        <v>1103</v>
      </c>
      <c r="F258" s="267" t="s">
        <v>168</v>
      </c>
      <c r="G258" s="277">
        <v>7</v>
      </c>
      <c r="H258" s="268">
        <v>643.75</v>
      </c>
      <c r="I258" s="287">
        <f>3.21+34.69+2.4+76.35+1.13+191.98</f>
        <v>309.76</v>
      </c>
      <c r="J258" s="268">
        <f t="shared" si="270"/>
        <v>392.99</v>
      </c>
      <c r="K258" s="292">
        <f>H258-I258</f>
        <v>333.99</v>
      </c>
      <c r="L258" s="268">
        <f t="shared" si="271"/>
        <v>423.73</v>
      </c>
      <c r="M258" s="268">
        <f t="shared" ref="M258" si="282">L258+J258</f>
        <v>816.72</v>
      </c>
      <c r="N258" s="268">
        <f t="shared" ref="N258" si="283">J258*G258</f>
        <v>2750.93</v>
      </c>
      <c r="O258" s="268">
        <f t="shared" ref="O258" si="284">L258*G258</f>
        <v>2966.11</v>
      </c>
      <c r="P258" s="268">
        <f t="shared" ref="P258" si="285">O258+N258</f>
        <v>5717.04</v>
      </c>
      <c r="Q258" s="269">
        <f t="shared" si="276"/>
        <v>2.3E-3</v>
      </c>
      <c r="R258" s="44"/>
      <c r="S258" s="49">
        <f t="shared" si="269"/>
        <v>4506.25</v>
      </c>
      <c r="T258" s="126"/>
      <c r="U258" s="48"/>
      <c r="V258" s="48"/>
      <c r="W258" s="48"/>
      <c r="X258" s="48"/>
      <c r="Y258" s="48"/>
      <c r="Z258" s="48"/>
      <c r="AA258" s="48"/>
      <c r="AB258" s="48"/>
      <c r="AC258" s="48"/>
      <c r="AD258" s="48"/>
      <c r="AE258" s="48"/>
      <c r="AF258" s="48"/>
      <c r="AG258" s="48"/>
      <c r="AH258" s="48"/>
      <c r="AI258" s="48"/>
      <c r="AJ258" s="44"/>
      <c r="AK258" s="44"/>
      <c r="AL258" s="44"/>
    </row>
    <row r="259" spans="1:38" ht="27.6" x14ac:dyDescent="0.25">
      <c r="A259" s="94"/>
      <c r="B259" s="265" t="s">
        <v>1241</v>
      </c>
      <c r="C259" s="266" t="s">
        <v>181</v>
      </c>
      <c r="D259" s="265" t="s">
        <v>40</v>
      </c>
      <c r="E259" s="265" t="s">
        <v>182</v>
      </c>
      <c r="F259" s="267" t="s">
        <v>44</v>
      </c>
      <c r="G259" s="277">
        <v>26</v>
      </c>
      <c r="H259" s="268">
        <f t="shared" si="277"/>
        <v>55.64</v>
      </c>
      <c r="I259" s="287">
        <v>14.02</v>
      </c>
      <c r="J259" s="268">
        <f t="shared" si="270"/>
        <v>17.79</v>
      </c>
      <c r="K259" s="292">
        <v>41.62</v>
      </c>
      <c r="L259" s="268">
        <f t="shared" si="271"/>
        <v>52.8</v>
      </c>
      <c r="M259" s="268">
        <f t="shared" ref="M259:M291" si="286">L259+J259</f>
        <v>70.59</v>
      </c>
      <c r="N259" s="268">
        <f t="shared" ref="N259:N291" si="287">J259*G259</f>
        <v>462.54</v>
      </c>
      <c r="O259" s="268">
        <f t="shared" ref="O259:O291" si="288">L259*G259</f>
        <v>1372.8</v>
      </c>
      <c r="P259" s="268">
        <f t="shared" ref="P259:P291" si="289">O259+N259</f>
        <v>1835.34</v>
      </c>
      <c r="Q259" s="269">
        <f t="shared" si="276"/>
        <v>6.9999999999999999E-4</v>
      </c>
      <c r="R259" s="44"/>
      <c r="S259" s="49">
        <f t="shared" si="269"/>
        <v>1446.64</v>
      </c>
      <c r="T259" s="126"/>
      <c r="U259" s="48"/>
      <c r="V259" s="48"/>
      <c r="W259" s="48"/>
      <c r="X259" s="48"/>
      <c r="Y259" s="48"/>
      <c r="Z259" s="48"/>
      <c r="AA259" s="48"/>
      <c r="AB259" s="48"/>
      <c r="AC259" s="48"/>
      <c r="AD259" s="48"/>
      <c r="AE259" s="48"/>
      <c r="AF259" s="48"/>
      <c r="AG259" s="48"/>
      <c r="AH259" s="48"/>
      <c r="AI259" s="48"/>
      <c r="AJ259" s="44"/>
      <c r="AK259" s="44"/>
      <c r="AL259" s="44"/>
    </row>
    <row r="260" spans="1:38" ht="27.6" x14ac:dyDescent="0.25">
      <c r="A260" s="94"/>
      <c r="B260" s="265" t="s">
        <v>1242</v>
      </c>
      <c r="C260" s="266" t="s">
        <v>344</v>
      </c>
      <c r="D260" s="265" t="s">
        <v>40</v>
      </c>
      <c r="E260" s="265" t="s">
        <v>345</v>
      </c>
      <c r="F260" s="267" t="s">
        <v>44</v>
      </c>
      <c r="G260" s="277">
        <v>4</v>
      </c>
      <c r="H260" s="268">
        <f t="shared" si="277"/>
        <v>16.690000000000001</v>
      </c>
      <c r="I260" s="287">
        <v>5.47</v>
      </c>
      <c r="J260" s="268">
        <f t="shared" si="270"/>
        <v>6.94</v>
      </c>
      <c r="K260" s="292">
        <v>11.22</v>
      </c>
      <c r="L260" s="268">
        <f t="shared" si="271"/>
        <v>14.23</v>
      </c>
      <c r="M260" s="268">
        <f t="shared" si="286"/>
        <v>21.17</v>
      </c>
      <c r="N260" s="268">
        <f t="shared" si="287"/>
        <v>27.76</v>
      </c>
      <c r="O260" s="268">
        <f t="shared" si="288"/>
        <v>56.92</v>
      </c>
      <c r="P260" s="268">
        <f t="shared" si="289"/>
        <v>84.68</v>
      </c>
      <c r="Q260" s="269">
        <f t="shared" si="276"/>
        <v>0</v>
      </c>
      <c r="R260" s="44"/>
      <c r="S260" s="49">
        <f t="shared" si="269"/>
        <v>66.760000000000005</v>
      </c>
      <c r="T260" s="126"/>
      <c r="U260" s="48"/>
      <c r="V260" s="48"/>
      <c r="W260" s="48"/>
      <c r="X260" s="48"/>
      <c r="Y260" s="48"/>
      <c r="Z260" s="48"/>
      <c r="AA260" s="48"/>
      <c r="AB260" s="48"/>
      <c r="AC260" s="48"/>
      <c r="AD260" s="48"/>
      <c r="AE260" s="48"/>
      <c r="AF260" s="48"/>
      <c r="AG260" s="48"/>
      <c r="AH260" s="48"/>
      <c r="AI260" s="48"/>
      <c r="AJ260" s="44"/>
      <c r="AK260" s="44"/>
      <c r="AL260" s="44"/>
    </row>
    <row r="261" spans="1:38" x14ac:dyDescent="0.25">
      <c r="A261" s="94"/>
      <c r="B261" s="265" t="s">
        <v>1243</v>
      </c>
      <c r="C261" s="266" t="s">
        <v>261</v>
      </c>
      <c r="D261" s="265" t="s">
        <v>40</v>
      </c>
      <c r="E261" s="265" t="s">
        <v>262</v>
      </c>
      <c r="F261" s="267" t="s">
        <v>44</v>
      </c>
      <c r="G261" s="277">
        <v>37</v>
      </c>
      <c r="H261" s="268">
        <f t="shared" si="277"/>
        <v>9.9700000000000006</v>
      </c>
      <c r="I261" s="287">
        <v>1.92</v>
      </c>
      <c r="J261" s="268">
        <f t="shared" si="270"/>
        <v>2.44</v>
      </c>
      <c r="K261" s="292">
        <v>8.0500000000000007</v>
      </c>
      <c r="L261" s="268">
        <f t="shared" si="271"/>
        <v>10.210000000000001</v>
      </c>
      <c r="M261" s="268">
        <f t="shared" si="286"/>
        <v>12.65</v>
      </c>
      <c r="N261" s="268">
        <f t="shared" si="287"/>
        <v>90.28</v>
      </c>
      <c r="O261" s="268">
        <f t="shared" si="288"/>
        <v>377.77</v>
      </c>
      <c r="P261" s="268">
        <f t="shared" si="289"/>
        <v>468.05</v>
      </c>
      <c r="Q261" s="269">
        <f t="shared" si="276"/>
        <v>2.0000000000000001E-4</v>
      </c>
      <c r="R261" s="44"/>
      <c r="S261" s="49">
        <f t="shared" si="269"/>
        <v>368.89</v>
      </c>
      <c r="T261" s="126"/>
      <c r="U261" s="48"/>
      <c r="V261" s="48"/>
      <c r="W261" s="48"/>
      <c r="X261" s="48"/>
      <c r="Y261" s="48"/>
      <c r="Z261" s="48"/>
      <c r="AA261" s="48"/>
      <c r="AB261" s="48"/>
      <c r="AC261" s="48"/>
      <c r="AD261" s="48"/>
      <c r="AE261" s="48"/>
      <c r="AF261" s="48"/>
      <c r="AG261" s="48"/>
      <c r="AH261" s="48"/>
      <c r="AI261" s="48"/>
      <c r="AJ261" s="44"/>
      <c r="AK261" s="44"/>
      <c r="AL261" s="44"/>
    </row>
    <row r="262" spans="1:38" x14ac:dyDescent="0.25">
      <c r="A262" s="94"/>
      <c r="B262" s="265" t="s">
        <v>1244</v>
      </c>
      <c r="C262" s="266" t="s">
        <v>644</v>
      </c>
      <c r="D262" s="265" t="s">
        <v>40</v>
      </c>
      <c r="E262" s="265" t="s">
        <v>1106</v>
      </c>
      <c r="F262" s="267" t="s">
        <v>44</v>
      </c>
      <c r="G262" s="277">
        <v>2</v>
      </c>
      <c r="H262" s="268">
        <f t="shared" si="277"/>
        <v>18.329999999999998</v>
      </c>
      <c r="I262" s="287">
        <v>3.09</v>
      </c>
      <c r="J262" s="268">
        <f t="shared" si="270"/>
        <v>3.92</v>
      </c>
      <c r="K262" s="292">
        <v>15.24</v>
      </c>
      <c r="L262" s="268">
        <f t="shared" si="271"/>
        <v>19.329999999999998</v>
      </c>
      <c r="M262" s="268">
        <f t="shared" si="286"/>
        <v>23.25</v>
      </c>
      <c r="N262" s="268">
        <f t="shared" si="287"/>
        <v>7.84</v>
      </c>
      <c r="O262" s="268">
        <f t="shared" si="288"/>
        <v>38.659999999999997</v>
      </c>
      <c r="P262" s="268">
        <f t="shared" si="289"/>
        <v>46.5</v>
      </c>
      <c r="Q262" s="269">
        <f t="shared" si="276"/>
        <v>0</v>
      </c>
      <c r="R262" s="44"/>
      <c r="S262" s="49">
        <f t="shared" si="269"/>
        <v>36.659999999999997</v>
      </c>
      <c r="T262" s="126"/>
      <c r="U262" s="48"/>
      <c r="V262" s="48"/>
      <c r="W262" s="48"/>
      <c r="X262" s="48"/>
      <c r="Y262" s="48"/>
      <c r="Z262" s="48"/>
      <c r="AA262" s="48"/>
      <c r="AB262" s="48"/>
      <c r="AC262" s="48"/>
      <c r="AD262" s="48"/>
      <c r="AE262" s="48"/>
      <c r="AF262" s="48"/>
      <c r="AG262" s="48"/>
      <c r="AH262" s="48"/>
      <c r="AI262" s="48"/>
      <c r="AJ262" s="44"/>
      <c r="AK262" s="44"/>
      <c r="AL262" s="44"/>
    </row>
    <row r="263" spans="1:38" ht="27.6" x14ac:dyDescent="0.25">
      <c r="A263" s="94"/>
      <c r="B263" s="265" t="s">
        <v>1245</v>
      </c>
      <c r="C263" s="266" t="s">
        <v>388</v>
      </c>
      <c r="D263" s="265" t="s">
        <v>40</v>
      </c>
      <c r="E263" s="265" t="s">
        <v>1105</v>
      </c>
      <c r="F263" s="267" t="s">
        <v>44</v>
      </c>
      <c r="G263" s="277">
        <v>39</v>
      </c>
      <c r="H263" s="268">
        <f t="shared" si="277"/>
        <v>8</v>
      </c>
      <c r="I263" s="287">
        <v>2.8</v>
      </c>
      <c r="J263" s="268">
        <f t="shared" si="270"/>
        <v>3.55</v>
      </c>
      <c r="K263" s="292">
        <v>5.2</v>
      </c>
      <c r="L263" s="268">
        <f t="shared" si="271"/>
        <v>6.6</v>
      </c>
      <c r="M263" s="268">
        <f t="shared" si="286"/>
        <v>10.15</v>
      </c>
      <c r="N263" s="268">
        <f t="shared" si="287"/>
        <v>138.44999999999999</v>
      </c>
      <c r="O263" s="268">
        <f t="shared" si="288"/>
        <v>257.39999999999998</v>
      </c>
      <c r="P263" s="268">
        <f t="shared" si="289"/>
        <v>395.85</v>
      </c>
      <c r="Q263" s="269">
        <f t="shared" si="276"/>
        <v>2.0000000000000001E-4</v>
      </c>
      <c r="R263" s="44"/>
      <c r="S263" s="49">
        <f t="shared" si="269"/>
        <v>312</v>
      </c>
      <c r="T263" s="126"/>
      <c r="U263" s="48"/>
      <c r="V263" s="48"/>
      <c r="W263" s="48"/>
      <c r="X263" s="48"/>
      <c r="Y263" s="48"/>
      <c r="Z263" s="48"/>
      <c r="AA263" s="48"/>
      <c r="AB263" s="48"/>
      <c r="AC263" s="48"/>
      <c r="AD263" s="48"/>
      <c r="AE263" s="48"/>
      <c r="AF263" s="48"/>
      <c r="AG263" s="48"/>
      <c r="AH263" s="48"/>
      <c r="AI263" s="48"/>
      <c r="AJ263" s="44"/>
      <c r="AK263" s="44"/>
      <c r="AL263" s="44"/>
    </row>
    <row r="264" spans="1:38" ht="27.6" x14ac:dyDescent="0.25">
      <c r="A264" s="94"/>
      <c r="B264" s="265" t="s">
        <v>1246</v>
      </c>
      <c r="C264" s="266" t="s">
        <v>645</v>
      </c>
      <c r="D264" s="265" t="s">
        <v>40</v>
      </c>
      <c r="E264" s="265" t="s">
        <v>646</v>
      </c>
      <c r="F264" s="267" t="s">
        <v>44</v>
      </c>
      <c r="G264" s="277">
        <v>15</v>
      </c>
      <c r="H264" s="268">
        <f t="shared" si="277"/>
        <v>61.96</v>
      </c>
      <c r="I264" s="287">
        <v>4.3499999999999996</v>
      </c>
      <c r="J264" s="268">
        <f t="shared" si="270"/>
        <v>5.52</v>
      </c>
      <c r="K264" s="292">
        <v>57.61</v>
      </c>
      <c r="L264" s="268">
        <f t="shared" si="271"/>
        <v>73.09</v>
      </c>
      <c r="M264" s="268">
        <f t="shared" si="286"/>
        <v>78.61</v>
      </c>
      <c r="N264" s="268">
        <f t="shared" si="287"/>
        <v>82.8</v>
      </c>
      <c r="O264" s="268">
        <f t="shared" si="288"/>
        <v>1096.3499999999999</v>
      </c>
      <c r="P264" s="268">
        <f t="shared" si="289"/>
        <v>1179.1500000000001</v>
      </c>
      <c r="Q264" s="269">
        <f t="shared" si="276"/>
        <v>5.0000000000000001E-4</v>
      </c>
      <c r="R264" s="44"/>
      <c r="S264" s="49">
        <f t="shared" si="269"/>
        <v>929.4</v>
      </c>
      <c r="T264" s="85"/>
      <c r="U264" s="48"/>
      <c r="V264" s="48"/>
      <c r="W264" s="48"/>
      <c r="X264" s="48"/>
      <c r="Y264" s="48"/>
      <c r="Z264" s="48"/>
      <c r="AA264" s="48"/>
      <c r="AB264" s="48"/>
      <c r="AC264" s="48"/>
      <c r="AD264" s="48"/>
      <c r="AE264" s="48"/>
      <c r="AF264" s="48"/>
      <c r="AG264" s="48"/>
      <c r="AH264" s="48"/>
      <c r="AI264" s="48"/>
      <c r="AJ264" s="44"/>
      <c r="AK264" s="44"/>
      <c r="AL264" s="44"/>
    </row>
    <row r="265" spans="1:38" ht="27.6" x14ac:dyDescent="0.25">
      <c r="A265" s="94"/>
      <c r="B265" s="265" t="s">
        <v>1247</v>
      </c>
      <c r="C265" s="266" t="s">
        <v>611</v>
      </c>
      <c r="D265" s="265" t="s">
        <v>40</v>
      </c>
      <c r="E265" s="265" t="s">
        <v>612</v>
      </c>
      <c r="F265" s="267" t="s">
        <v>44</v>
      </c>
      <c r="G265" s="277">
        <v>9</v>
      </c>
      <c r="H265" s="268">
        <f t="shared" si="277"/>
        <v>41.09</v>
      </c>
      <c r="I265" s="287">
        <v>7.19</v>
      </c>
      <c r="J265" s="268">
        <f t="shared" si="270"/>
        <v>9.1199999999999992</v>
      </c>
      <c r="K265" s="292">
        <v>33.9</v>
      </c>
      <c r="L265" s="268">
        <f t="shared" si="271"/>
        <v>43.01</v>
      </c>
      <c r="M265" s="268">
        <f t="shared" si="286"/>
        <v>52.13</v>
      </c>
      <c r="N265" s="268">
        <f t="shared" si="287"/>
        <v>82.08</v>
      </c>
      <c r="O265" s="268">
        <f t="shared" si="288"/>
        <v>387.09</v>
      </c>
      <c r="P265" s="268">
        <f t="shared" si="289"/>
        <v>469.17</v>
      </c>
      <c r="Q265" s="269">
        <f t="shared" si="276"/>
        <v>2.0000000000000001E-4</v>
      </c>
      <c r="R265" s="44"/>
      <c r="S265" s="49">
        <f t="shared" si="269"/>
        <v>369.81</v>
      </c>
      <c r="T265" s="85"/>
      <c r="U265" s="48"/>
      <c r="V265" s="48"/>
      <c r="W265" s="48"/>
      <c r="X265" s="48"/>
      <c r="Y265" s="48"/>
      <c r="Z265" s="48"/>
      <c r="AA265" s="48"/>
      <c r="AB265" s="48"/>
      <c r="AC265" s="48"/>
      <c r="AD265" s="48"/>
      <c r="AE265" s="48"/>
      <c r="AF265" s="48"/>
      <c r="AG265" s="48"/>
      <c r="AH265" s="48"/>
      <c r="AI265" s="48"/>
      <c r="AJ265" s="44"/>
      <c r="AK265" s="44"/>
      <c r="AL265" s="44"/>
    </row>
    <row r="266" spans="1:38" ht="27.6" x14ac:dyDescent="0.25">
      <c r="A266" s="94"/>
      <c r="B266" s="265" t="s">
        <v>1248</v>
      </c>
      <c r="C266" s="266" t="s">
        <v>183</v>
      </c>
      <c r="D266" s="265" t="s">
        <v>40</v>
      </c>
      <c r="E266" s="265" t="s">
        <v>184</v>
      </c>
      <c r="F266" s="267" t="s">
        <v>44</v>
      </c>
      <c r="G266" s="277">
        <v>59</v>
      </c>
      <c r="H266" s="268">
        <f t="shared" si="277"/>
        <v>11.47</v>
      </c>
      <c r="I266" s="287">
        <v>4.21</v>
      </c>
      <c r="J266" s="268">
        <f t="shared" si="270"/>
        <v>5.34</v>
      </c>
      <c r="K266" s="292">
        <v>7.26</v>
      </c>
      <c r="L266" s="268">
        <f t="shared" si="271"/>
        <v>9.2100000000000009</v>
      </c>
      <c r="M266" s="268">
        <f t="shared" si="286"/>
        <v>14.55</v>
      </c>
      <c r="N266" s="268">
        <f t="shared" si="287"/>
        <v>315.06</v>
      </c>
      <c r="O266" s="268">
        <f t="shared" si="288"/>
        <v>543.39</v>
      </c>
      <c r="P266" s="268">
        <f t="shared" si="289"/>
        <v>858.45</v>
      </c>
      <c r="Q266" s="269">
        <f t="shared" si="276"/>
        <v>2.9999999999999997E-4</v>
      </c>
      <c r="R266" s="44"/>
      <c r="S266" s="49">
        <f t="shared" si="269"/>
        <v>676.73</v>
      </c>
      <c r="T266" s="85"/>
      <c r="U266" s="48"/>
      <c r="V266" s="48"/>
      <c r="W266" s="48"/>
      <c r="X266" s="48"/>
      <c r="Y266" s="48"/>
      <c r="Z266" s="48"/>
      <c r="AA266" s="48"/>
      <c r="AB266" s="48"/>
      <c r="AC266" s="48"/>
      <c r="AD266" s="48"/>
      <c r="AE266" s="48"/>
      <c r="AF266" s="48"/>
      <c r="AG266" s="48"/>
      <c r="AH266" s="48"/>
      <c r="AI266" s="48"/>
      <c r="AJ266" s="44"/>
      <c r="AK266" s="44"/>
      <c r="AL266" s="44"/>
    </row>
    <row r="267" spans="1:38" ht="27.6" x14ac:dyDescent="0.25">
      <c r="A267" s="94"/>
      <c r="B267" s="265" t="s">
        <v>1249</v>
      </c>
      <c r="C267" s="266" t="s">
        <v>185</v>
      </c>
      <c r="D267" s="265" t="s">
        <v>40</v>
      </c>
      <c r="E267" s="265" t="s">
        <v>186</v>
      </c>
      <c r="F267" s="267" t="s">
        <v>44</v>
      </c>
      <c r="G267" s="277">
        <v>29</v>
      </c>
      <c r="H267" s="268">
        <f t="shared" si="277"/>
        <v>9.01</v>
      </c>
      <c r="I267" s="287">
        <v>4.22</v>
      </c>
      <c r="J267" s="268">
        <f t="shared" si="270"/>
        <v>5.35</v>
      </c>
      <c r="K267" s="292">
        <v>4.79</v>
      </c>
      <c r="L267" s="268">
        <f t="shared" si="271"/>
        <v>6.08</v>
      </c>
      <c r="M267" s="268">
        <f t="shared" si="286"/>
        <v>11.43</v>
      </c>
      <c r="N267" s="268">
        <f t="shared" si="287"/>
        <v>155.15</v>
      </c>
      <c r="O267" s="268">
        <f t="shared" si="288"/>
        <v>176.32</v>
      </c>
      <c r="P267" s="268">
        <f t="shared" si="289"/>
        <v>331.47</v>
      </c>
      <c r="Q267" s="269">
        <f t="shared" si="276"/>
        <v>1E-4</v>
      </c>
      <c r="R267" s="44"/>
      <c r="S267" s="49">
        <f t="shared" si="269"/>
        <v>261.29000000000002</v>
      </c>
      <c r="T267" s="126"/>
      <c r="U267" s="48"/>
      <c r="V267" s="48"/>
      <c r="W267" s="48"/>
      <c r="X267" s="48"/>
      <c r="Y267" s="48"/>
      <c r="Z267" s="48"/>
      <c r="AA267" s="48"/>
      <c r="AB267" s="48"/>
      <c r="AC267" s="48"/>
      <c r="AD267" s="48"/>
      <c r="AE267" s="48"/>
      <c r="AF267" s="48"/>
      <c r="AG267" s="48"/>
      <c r="AH267" s="48"/>
      <c r="AI267" s="48"/>
      <c r="AJ267" s="44"/>
      <c r="AK267" s="44"/>
      <c r="AL267" s="44"/>
    </row>
    <row r="268" spans="1:38" ht="27.6" x14ac:dyDescent="0.25">
      <c r="A268" s="94"/>
      <c r="B268" s="265" t="s">
        <v>1250</v>
      </c>
      <c r="C268" s="266" t="s">
        <v>647</v>
      </c>
      <c r="D268" s="265" t="s">
        <v>40</v>
      </c>
      <c r="E268" s="265" t="s">
        <v>648</v>
      </c>
      <c r="F268" s="267" t="s">
        <v>44</v>
      </c>
      <c r="G268" s="277">
        <v>28</v>
      </c>
      <c r="H268" s="268">
        <f t="shared" si="277"/>
        <v>14.87</v>
      </c>
      <c r="I268" s="287">
        <v>4.5599999999999996</v>
      </c>
      <c r="J268" s="268">
        <f t="shared" si="270"/>
        <v>5.79</v>
      </c>
      <c r="K268" s="292">
        <v>10.31</v>
      </c>
      <c r="L268" s="268">
        <f t="shared" si="271"/>
        <v>13.08</v>
      </c>
      <c r="M268" s="268">
        <f t="shared" si="286"/>
        <v>18.87</v>
      </c>
      <c r="N268" s="268">
        <f t="shared" si="287"/>
        <v>162.12</v>
      </c>
      <c r="O268" s="268">
        <f t="shared" si="288"/>
        <v>366.24</v>
      </c>
      <c r="P268" s="268">
        <f t="shared" si="289"/>
        <v>528.36</v>
      </c>
      <c r="Q268" s="269">
        <f t="shared" si="276"/>
        <v>2.0000000000000001E-4</v>
      </c>
      <c r="R268" s="44"/>
      <c r="S268" s="49">
        <f t="shared" si="269"/>
        <v>416.36</v>
      </c>
      <c r="T268" s="126"/>
      <c r="U268" s="48"/>
      <c r="V268" s="48"/>
      <c r="W268" s="48"/>
      <c r="X268" s="48"/>
      <c r="Y268" s="48"/>
      <c r="Z268" s="48"/>
      <c r="AA268" s="48"/>
      <c r="AB268" s="48"/>
      <c r="AC268" s="48"/>
      <c r="AD268" s="48"/>
      <c r="AE268" s="48"/>
      <c r="AF268" s="48"/>
      <c r="AG268" s="48"/>
      <c r="AH268" s="48"/>
      <c r="AI268" s="48"/>
      <c r="AJ268" s="44"/>
      <c r="AK268" s="44"/>
      <c r="AL268" s="44"/>
    </row>
    <row r="269" spans="1:38" ht="27.6" x14ac:dyDescent="0.25">
      <c r="A269" s="94"/>
      <c r="B269" s="265" t="s">
        <v>1251</v>
      </c>
      <c r="C269" s="266" t="s">
        <v>649</v>
      </c>
      <c r="D269" s="265" t="s">
        <v>40</v>
      </c>
      <c r="E269" s="265" t="s">
        <v>650</v>
      </c>
      <c r="F269" s="267" t="s">
        <v>44</v>
      </c>
      <c r="G269" s="277">
        <v>6</v>
      </c>
      <c r="H269" s="268">
        <f t="shared" si="277"/>
        <v>22.5</v>
      </c>
      <c r="I269" s="287">
        <v>5.47</v>
      </c>
      <c r="J269" s="268">
        <f t="shared" si="270"/>
        <v>6.94</v>
      </c>
      <c r="K269" s="292">
        <v>17.03</v>
      </c>
      <c r="L269" s="268">
        <f t="shared" si="271"/>
        <v>21.61</v>
      </c>
      <c r="M269" s="268">
        <f t="shared" si="286"/>
        <v>28.55</v>
      </c>
      <c r="N269" s="268">
        <f t="shared" si="287"/>
        <v>41.64</v>
      </c>
      <c r="O269" s="268">
        <f t="shared" si="288"/>
        <v>129.66</v>
      </c>
      <c r="P269" s="268">
        <f t="shared" si="289"/>
        <v>171.3</v>
      </c>
      <c r="Q269" s="269">
        <f t="shared" si="276"/>
        <v>1E-4</v>
      </c>
      <c r="R269" s="44"/>
      <c r="S269" s="49">
        <f t="shared" si="269"/>
        <v>135</v>
      </c>
      <c r="T269" s="126"/>
      <c r="U269" s="48"/>
      <c r="V269" s="48"/>
      <c r="W269" s="48"/>
      <c r="X269" s="48"/>
      <c r="Y269" s="48"/>
      <c r="Z269" s="48"/>
      <c r="AA269" s="48"/>
      <c r="AB269" s="48"/>
      <c r="AC269" s="48"/>
      <c r="AD269" s="48"/>
      <c r="AE269" s="48"/>
      <c r="AF269" s="48"/>
      <c r="AG269" s="48"/>
      <c r="AH269" s="48"/>
      <c r="AI269" s="48"/>
      <c r="AJ269" s="44"/>
      <c r="AK269" s="44"/>
      <c r="AL269" s="44"/>
    </row>
    <row r="270" spans="1:38" ht="27.6" x14ac:dyDescent="0.25">
      <c r="A270" s="44"/>
      <c r="B270" s="265" t="s">
        <v>1252</v>
      </c>
      <c r="C270" s="266" t="s">
        <v>191</v>
      </c>
      <c r="D270" s="265" t="s">
        <v>40</v>
      </c>
      <c r="E270" s="265" t="s">
        <v>192</v>
      </c>
      <c r="F270" s="267" t="s">
        <v>44</v>
      </c>
      <c r="G270" s="277">
        <v>4</v>
      </c>
      <c r="H270" s="268">
        <f t="shared" si="277"/>
        <v>14.21</v>
      </c>
      <c r="I270" s="287">
        <v>4.5599999999999996</v>
      </c>
      <c r="J270" s="268">
        <f t="shared" si="270"/>
        <v>5.79</v>
      </c>
      <c r="K270" s="292">
        <v>9.65</v>
      </c>
      <c r="L270" s="268">
        <f t="shared" si="271"/>
        <v>12.24</v>
      </c>
      <c r="M270" s="268">
        <f t="shared" si="286"/>
        <v>18.03</v>
      </c>
      <c r="N270" s="268">
        <f t="shared" si="287"/>
        <v>23.16</v>
      </c>
      <c r="O270" s="268">
        <f t="shared" si="288"/>
        <v>48.96</v>
      </c>
      <c r="P270" s="268">
        <f t="shared" si="289"/>
        <v>72.12</v>
      </c>
      <c r="Q270" s="269">
        <f t="shared" si="276"/>
        <v>0</v>
      </c>
      <c r="R270" s="44"/>
      <c r="S270" s="49">
        <f t="shared" si="269"/>
        <v>56.84</v>
      </c>
      <c r="T270" s="44"/>
      <c r="U270" s="44"/>
      <c r="V270" s="44"/>
      <c r="W270" s="44"/>
      <c r="X270" s="44"/>
      <c r="Y270" s="44"/>
      <c r="Z270" s="44"/>
      <c r="AA270" s="44"/>
      <c r="AB270" s="44"/>
      <c r="AC270" s="44"/>
      <c r="AD270" s="44"/>
      <c r="AE270" s="44"/>
      <c r="AF270" s="44"/>
      <c r="AG270" s="44"/>
      <c r="AH270" s="44"/>
      <c r="AI270" s="44"/>
      <c r="AJ270" s="44"/>
      <c r="AK270" s="44"/>
      <c r="AL270" s="44"/>
    </row>
    <row r="271" spans="1:38" ht="27.6" x14ac:dyDescent="0.25">
      <c r="A271" s="94"/>
      <c r="B271" s="265" t="s">
        <v>1253</v>
      </c>
      <c r="C271" s="266" t="s">
        <v>187</v>
      </c>
      <c r="D271" s="265" t="s">
        <v>40</v>
      </c>
      <c r="E271" s="265" t="s">
        <v>188</v>
      </c>
      <c r="F271" s="267" t="s">
        <v>44</v>
      </c>
      <c r="G271" s="277">
        <v>38</v>
      </c>
      <c r="H271" s="268">
        <f t="shared" si="277"/>
        <v>8.8000000000000007</v>
      </c>
      <c r="I271" s="287">
        <v>4.22</v>
      </c>
      <c r="J271" s="268">
        <f t="shared" si="270"/>
        <v>5.35</v>
      </c>
      <c r="K271" s="292">
        <v>4.58</v>
      </c>
      <c r="L271" s="268">
        <f t="shared" si="271"/>
        <v>5.81</v>
      </c>
      <c r="M271" s="268">
        <f t="shared" si="286"/>
        <v>11.16</v>
      </c>
      <c r="N271" s="268">
        <f t="shared" si="287"/>
        <v>203.3</v>
      </c>
      <c r="O271" s="268">
        <f t="shared" si="288"/>
        <v>220.78</v>
      </c>
      <c r="P271" s="268">
        <f t="shared" si="289"/>
        <v>424.08</v>
      </c>
      <c r="Q271" s="269">
        <f t="shared" si="276"/>
        <v>2.0000000000000001E-4</v>
      </c>
      <c r="R271" s="44"/>
      <c r="S271" s="49">
        <f t="shared" si="269"/>
        <v>334.4</v>
      </c>
      <c r="T271" s="101"/>
      <c r="U271" s="48"/>
      <c r="V271" s="48"/>
      <c r="W271" s="48"/>
      <c r="X271" s="48"/>
      <c r="Y271" s="48"/>
      <c r="Z271" s="48"/>
      <c r="AA271" s="48"/>
      <c r="AB271" s="48"/>
      <c r="AC271" s="48"/>
      <c r="AD271" s="48"/>
      <c r="AE271" s="48"/>
      <c r="AF271" s="48"/>
      <c r="AG271" s="48"/>
      <c r="AH271" s="48"/>
      <c r="AI271" s="48"/>
      <c r="AJ271" s="48"/>
      <c r="AK271" s="44"/>
      <c r="AL271" s="44"/>
    </row>
    <row r="272" spans="1:38" ht="41.4" x14ac:dyDescent="0.25">
      <c r="A272" s="94"/>
      <c r="B272" s="265" t="s">
        <v>1254</v>
      </c>
      <c r="C272" s="266" t="s">
        <v>651</v>
      </c>
      <c r="D272" s="265" t="s">
        <v>40</v>
      </c>
      <c r="E272" s="265" t="s">
        <v>652</v>
      </c>
      <c r="F272" s="267" t="s">
        <v>44</v>
      </c>
      <c r="G272" s="277">
        <v>9</v>
      </c>
      <c r="H272" s="268">
        <f t="shared" si="277"/>
        <v>40.67</v>
      </c>
      <c r="I272" s="287">
        <v>7.7</v>
      </c>
      <c r="J272" s="268">
        <f t="shared" si="270"/>
        <v>9.77</v>
      </c>
      <c r="K272" s="292">
        <v>32.97</v>
      </c>
      <c r="L272" s="268">
        <f t="shared" si="271"/>
        <v>41.83</v>
      </c>
      <c r="M272" s="268">
        <f t="shared" si="286"/>
        <v>51.6</v>
      </c>
      <c r="N272" s="268">
        <f t="shared" si="287"/>
        <v>87.93</v>
      </c>
      <c r="O272" s="268">
        <f t="shared" si="288"/>
        <v>376.47</v>
      </c>
      <c r="P272" s="268">
        <f t="shared" si="289"/>
        <v>464.4</v>
      </c>
      <c r="Q272" s="269">
        <f t="shared" si="276"/>
        <v>2.0000000000000001E-4</v>
      </c>
      <c r="R272" s="44"/>
      <c r="S272" s="49">
        <f t="shared" si="269"/>
        <v>366.03</v>
      </c>
      <c r="T272" s="101"/>
      <c r="U272" s="48"/>
      <c r="V272" s="48"/>
      <c r="W272" s="48"/>
      <c r="X272" s="48"/>
      <c r="Y272" s="48"/>
      <c r="Z272" s="48"/>
      <c r="AA272" s="48"/>
      <c r="AB272" s="48"/>
      <c r="AC272" s="48"/>
      <c r="AD272" s="48"/>
      <c r="AE272" s="48"/>
      <c r="AF272" s="48"/>
      <c r="AG272" s="48"/>
      <c r="AH272" s="48"/>
      <c r="AI272" s="48"/>
      <c r="AJ272" s="48"/>
      <c r="AK272" s="44"/>
      <c r="AL272" s="44"/>
    </row>
    <row r="273" spans="1:38" ht="41.4" x14ac:dyDescent="0.25">
      <c r="A273" s="138"/>
      <c r="B273" s="265" t="s">
        <v>1255</v>
      </c>
      <c r="C273" s="266" t="s">
        <v>1486</v>
      </c>
      <c r="D273" s="265" t="s">
        <v>40</v>
      </c>
      <c r="E273" s="265" t="s">
        <v>1487</v>
      </c>
      <c r="F273" s="267" t="s">
        <v>44</v>
      </c>
      <c r="G273" s="277">
        <v>1</v>
      </c>
      <c r="H273" s="268">
        <f t="shared" si="277"/>
        <v>45.37</v>
      </c>
      <c r="I273" s="287">
        <v>8.11</v>
      </c>
      <c r="J273" s="268">
        <f t="shared" si="270"/>
        <v>10.29</v>
      </c>
      <c r="K273" s="292">
        <v>37.26</v>
      </c>
      <c r="L273" s="268">
        <f t="shared" si="271"/>
        <v>47.27</v>
      </c>
      <c r="M273" s="268">
        <f t="shared" si="286"/>
        <v>57.56</v>
      </c>
      <c r="N273" s="268">
        <f t="shared" si="287"/>
        <v>10.29</v>
      </c>
      <c r="O273" s="268">
        <f t="shared" si="288"/>
        <v>47.27</v>
      </c>
      <c r="P273" s="268">
        <f t="shared" si="289"/>
        <v>57.56</v>
      </c>
      <c r="Q273" s="269">
        <f t="shared" si="276"/>
        <v>0</v>
      </c>
      <c r="R273" s="44"/>
      <c r="S273" s="49">
        <f t="shared" si="269"/>
        <v>45.37</v>
      </c>
      <c r="T273" s="139"/>
      <c r="U273" s="140"/>
      <c r="V273" s="140"/>
      <c r="W273" s="140"/>
      <c r="X273" s="140"/>
      <c r="Y273" s="140"/>
      <c r="Z273" s="140"/>
      <c r="AA273" s="140"/>
      <c r="AB273" s="140"/>
      <c r="AC273" s="140"/>
      <c r="AD273" s="140"/>
      <c r="AE273" s="140"/>
      <c r="AF273" s="140"/>
      <c r="AG273" s="140"/>
      <c r="AH273" s="140"/>
      <c r="AI273" s="140"/>
      <c r="AJ273" s="140"/>
      <c r="AK273" s="44"/>
      <c r="AL273" s="44"/>
    </row>
    <row r="274" spans="1:38" ht="27.6" x14ac:dyDescent="0.25">
      <c r="A274" s="94"/>
      <c r="B274" s="265" t="s">
        <v>1256</v>
      </c>
      <c r="C274" s="266" t="s">
        <v>653</v>
      </c>
      <c r="D274" s="265" t="s">
        <v>40</v>
      </c>
      <c r="E274" s="265" t="s">
        <v>654</v>
      </c>
      <c r="F274" s="267" t="s">
        <v>44</v>
      </c>
      <c r="G274" s="277">
        <v>7</v>
      </c>
      <c r="H274" s="268">
        <f t="shared" si="277"/>
        <v>12.88</v>
      </c>
      <c r="I274" s="287">
        <v>5.63</v>
      </c>
      <c r="J274" s="268">
        <f t="shared" si="270"/>
        <v>7.14</v>
      </c>
      <c r="K274" s="292">
        <v>7.25</v>
      </c>
      <c r="L274" s="268">
        <f t="shared" si="271"/>
        <v>9.1999999999999993</v>
      </c>
      <c r="M274" s="268">
        <f t="shared" si="286"/>
        <v>16.34</v>
      </c>
      <c r="N274" s="268">
        <f t="shared" si="287"/>
        <v>49.98</v>
      </c>
      <c r="O274" s="268">
        <f t="shared" si="288"/>
        <v>64.400000000000006</v>
      </c>
      <c r="P274" s="268">
        <f t="shared" si="289"/>
        <v>114.38</v>
      </c>
      <c r="Q274" s="269">
        <f t="shared" si="276"/>
        <v>0</v>
      </c>
      <c r="R274" s="44"/>
      <c r="S274" s="49">
        <f t="shared" si="269"/>
        <v>90.16</v>
      </c>
      <c r="T274" s="101"/>
      <c r="U274" s="48"/>
      <c r="V274" s="48"/>
      <c r="W274" s="48"/>
      <c r="X274" s="48"/>
      <c r="Y274" s="48"/>
      <c r="Z274" s="48"/>
      <c r="AA274" s="48"/>
      <c r="AB274" s="48"/>
      <c r="AC274" s="48"/>
      <c r="AD274" s="48"/>
      <c r="AE274" s="48"/>
      <c r="AF274" s="48"/>
      <c r="AG274" s="48"/>
      <c r="AH274" s="48"/>
      <c r="AI274" s="48"/>
      <c r="AJ274" s="48"/>
      <c r="AK274" s="44"/>
      <c r="AL274" s="44"/>
    </row>
    <row r="275" spans="1:38" ht="27.6" x14ac:dyDescent="0.25">
      <c r="A275" s="94"/>
      <c r="B275" s="265" t="s">
        <v>1257</v>
      </c>
      <c r="C275" s="266" t="s">
        <v>1488</v>
      </c>
      <c r="D275" s="265" t="s">
        <v>40</v>
      </c>
      <c r="E275" s="265" t="s">
        <v>1489</v>
      </c>
      <c r="F275" s="267" t="s">
        <v>44</v>
      </c>
      <c r="G275" s="277">
        <v>1</v>
      </c>
      <c r="H275" s="268">
        <f t="shared" si="277"/>
        <v>25.18</v>
      </c>
      <c r="I275" s="287">
        <v>6.09</v>
      </c>
      <c r="J275" s="268">
        <f t="shared" si="270"/>
        <v>7.73</v>
      </c>
      <c r="K275" s="292">
        <v>19.09</v>
      </c>
      <c r="L275" s="268">
        <f t="shared" si="271"/>
        <v>24.22</v>
      </c>
      <c r="M275" s="268">
        <f t="shared" si="286"/>
        <v>31.95</v>
      </c>
      <c r="N275" s="268">
        <f t="shared" si="287"/>
        <v>7.73</v>
      </c>
      <c r="O275" s="268">
        <f t="shared" si="288"/>
        <v>24.22</v>
      </c>
      <c r="P275" s="268">
        <f t="shared" si="289"/>
        <v>31.95</v>
      </c>
      <c r="Q275" s="269">
        <f t="shared" si="276"/>
        <v>0</v>
      </c>
      <c r="R275" s="44"/>
      <c r="S275" s="49">
        <f t="shared" si="269"/>
        <v>25.18</v>
      </c>
      <c r="T275" s="101"/>
      <c r="U275" s="48"/>
      <c r="V275" s="48"/>
      <c r="W275" s="48"/>
      <c r="X275" s="48"/>
      <c r="Y275" s="48"/>
      <c r="Z275" s="48"/>
      <c r="AA275" s="48"/>
      <c r="AB275" s="48"/>
      <c r="AC275" s="48"/>
      <c r="AD275" s="48"/>
      <c r="AE275" s="48"/>
      <c r="AF275" s="48"/>
      <c r="AG275" s="48"/>
      <c r="AH275" s="48"/>
      <c r="AI275" s="48"/>
      <c r="AJ275" s="48"/>
      <c r="AK275" s="44"/>
      <c r="AL275" s="44"/>
    </row>
    <row r="276" spans="1:38" ht="27.6" x14ac:dyDescent="0.25">
      <c r="A276" s="94"/>
      <c r="B276" s="265" t="s">
        <v>1258</v>
      </c>
      <c r="C276" s="266" t="s">
        <v>793</v>
      </c>
      <c r="D276" s="265" t="s">
        <v>40</v>
      </c>
      <c r="E276" s="265" t="s">
        <v>794</v>
      </c>
      <c r="F276" s="267" t="s">
        <v>44</v>
      </c>
      <c r="G276" s="277">
        <v>3</v>
      </c>
      <c r="H276" s="268">
        <f t="shared" si="277"/>
        <v>28.97</v>
      </c>
      <c r="I276" s="287">
        <v>4.2</v>
      </c>
      <c r="J276" s="268">
        <f t="shared" si="270"/>
        <v>5.33</v>
      </c>
      <c r="K276" s="292">
        <v>24.77</v>
      </c>
      <c r="L276" s="268">
        <f t="shared" si="271"/>
        <v>31.43</v>
      </c>
      <c r="M276" s="268">
        <f t="shared" si="286"/>
        <v>36.76</v>
      </c>
      <c r="N276" s="268">
        <f t="shared" si="287"/>
        <v>15.99</v>
      </c>
      <c r="O276" s="268">
        <f t="shared" si="288"/>
        <v>94.29</v>
      </c>
      <c r="P276" s="268">
        <f t="shared" si="289"/>
        <v>110.28</v>
      </c>
      <c r="Q276" s="269">
        <f t="shared" si="276"/>
        <v>0</v>
      </c>
      <c r="R276" s="44"/>
      <c r="S276" s="49">
        <f t="shared" si="269"/>
        <v>86.91</v>
      </c>
      <c r="T276" s="101"/>
      <c r="U276" s="48"/>
      <c r="V276" s="48"/>
      <c r="W276" s="48"/>
      <c r="X276" s="48"/>
      <c r="Y276" s="48"/>
      <c r="Z276" s="48"/>
      <c r="AA276" s="48"/>
      <c r="AB276" s="48"/>
      <c r="AC276" s="48"/>
      <c r="AD276" s="48"/>
      <c r="AE276" s="48"/>
      <c r="AF276" s="48"/>
      <c r="AG276" s="48"/>
      <c r="AH276" s="48"/>
      <c r="AI276" s="48"/>
      <c r="AJ276" s="48"/>
      <c r="AK276" s="44"/>
      <c r="AL276" s="44"/>
    </row>
    <row r="277" spans="1:38" ht="27.6" x14ac:dyDescent="0.25">
      <c r="A277" s="94"/>
      <c r="B277" s="265" t="s">
        <v>1259</v>
      </c>
      <c r="C277" s="266">
        <v>89795</v>
      </c>
      <c r="D277" s="265" t="s">
        <v>40</v>
      </c>
      <c r="E277" s="265" t="s">
        <v>655</v>
      </c>
      <c r="F277" s="267" t="s">
        <v>44</v>
      </c>
      <c r="G277" s="277">
        <v>5</v>
      </c>
      <c r="H277" s="268">
        <f t="shared" si="277"/>
        <v>38.840000000000003</v>
      </c>
      <c r="I277" s="287">
        <v>7.3</v>
      </c>
      <c r="J277" s="268">
        <f t="shared" ref="J277:J340" si="290">I277*(1+$M$9)</f>
        <v>9.26</v>
      </c>
      <c r="K277" s="292">
        <v>31.54</v>
      </c>
      <c r="L277" s="268">
        <f t="shared" si="271"/>
        <v>40.01</v>
      </c>
      <c r="M277" s="268">
        <f t="shared" si="286"/>
        <v>49.27</v>
      </c>
      <c r="N277" s="268">
        <f t="shared" si="287"/>
        <v>46.3</v>
      </c>
      <c r="O277" s="268">
        <f t="shared" si="288"/>
        <v>200.05</v>
      </c>
      <c r="P277" s="268">
        <f t="shared" si="289"/>
        <v>246.35</v>
      </c>
      <c r="Q277" s="269">
        <f t="shared" ref="Q277:Q340" si="291">P277/$O$485</f>
        <v>1E-4</v>
      </c>
      <c r="R277" s="44"/>
      <c r="S277" s="49">
        <f t="shared" ref="S277:S340" si="292">G277*H277</f>
        <v>194.2</v>
      </c>
      <c r="T277" s="101"/>
      <c r="U277" s="48"/>
      <c r="V277" s="48"/>
      <c r="W277" s="48"/>
      <c r="X277" s="48"/>
      <c r="Y277" s="48"/>
      <c r="Z277" s="48"/>
      <c r="AA277" s="48"/>
      <c r="AB277" s="48"/>
      <c r="AC277" s="48"/>
      <c r="AD277" s="48"/>
      <c r="AE277" s="48"/>
      <c r="AF277" s="48"/>
      <c r="AG277" s="48"/>
      <c r="AH277" s="48"/>
      <c r="AI277" s="48"/>
      <c r="AJ277" s="48"/>
      <c r="AK277" s="44"/>
      <c r="AL277" s="44"/>
    </row>
    <row r="278" spans="1:38" ht="27.6" x14ac:dyDescent="0.25">
      <c r="A278" s="94"/>
      <c r="B278" s="265" t="s">
        <v>1260</v>
      </c>
      <c r="C278" s="266" t="s">
        <v>189</v>
      </c>
      <c r="D278" s="265" t="s">
        <v>40</v>
      </c>
      <c r="E278" s="265" t="s">
        <v>190</v>
      </c>
      <c r="F278" s="267" t="s">
        <v>44</v>
      </c>
      <c r="G278" s="277">
        <v>5</v>
      </c>
      <c r="H278" s="268">
        <f t="shared" si="277"/>
        <v>18.670000000000002</v>
      </c>
      <c r="I278" s="287">
        <v>1.69</v>
      </c>
      <c r="J278" s="268">
        <f t="shared" si="290"/>
        <v>2.14</v>
      </c>
      <c r="K278" s="292">
        <v>16.98</v>
      </c>
      <c r="L278" s="268">
        <f t="shared" si="271"/>
        <v>21.54</v>
      </c>
      <c r="M278" s="268">
        <f t="shared" si="286"/>
        <v>23.68</v>
      </c>
      <c r="N278" s="268">
        <f t="shared" si="287"/>
        <v>10.7</v>
      </c>
      <c r="O278" s="268">
        <f t="shared" si="288"/>
        <v>107.7</v>
      </c>
      <c r="P278" s="268">
        <f t="shared" si="289"/>
        <v>118.4</v>
      </c>
      <c r="Q278" s="269">
        <f t="shared" si="291"/>
        <v>0</v>
      </c>
      <c r="R278" s="44"/>
      <c r="S278" s="49">
        <f t="shared" si="292"/>
        <v>93.35</v>
      </c>
      <c r="T278" s="101"/>
      <c r="U278" s="48"/>
      <c r="V278" s="48"/>
      <c r="W278" s="48"/>
      <c r="X278" s="48"/>
      <c r="Y278" s="48"/>
      <c r="Z278" s="48"/>
      <c r="AA278" s="48"/>
      <c r="AB278" s="48"/>
      <c r="AC278" s="48"/>
      <c r="AD278" s="48"/>
      <c r="AE278" s="48"/>
      <c r="AF278" s="48"/>
      <c r="AG278" s="48"/>
      <c r="AH278" s="48"/>
      <c r="AI278" s="48"/>
      <c r="AJ278" s="48"/>
      <c r="AK278" s="44"/>
      <c r="AL278" s="44"/>
    </row>
    <row r="279" spans="1:38" ht="27.6" x14ac:dyDescent="0.25">
      <c r="A279" s="94"/>
      <c r="B279" s="265" t="s">
        <v>1261</v>
      </c>
      <c r="C279" s="266" t="s">
        <v>656</v>
      </c>
      <c r="D279" s="265" t="s">
        <v>199</v>
      </c>
      <c r="E279" s="265" t="s">
        <v>765</v>
      </c>
      <c r="F279" s="267" t="s">
        <v>240</v>
      </c>
      <c r="G279" s="277">
        <v>157.4</v>
      </c>
      <c r="H279" s="268">
        <v>100.91</v>
      </c>
      <c r="I279" s="287">
        <f>20.43+29.79</f>
        <v>50.22</v>
      </c>
      <c r="J279" s="268">
        <f t="shared" si="290"/>
        <v>63.71</v>
      </c>
      <c r="K279" s="292">
        <f t="shared" ref="K279:K285" si="293">H279-I279</f>
        <v>50.69</v>
      </c>
      <c r="L279" s="268">
        <f t="shared" ref="L279:L323" si="294">K279*(1+$M$9)</f>
        <v>64.31</v>
      </c>
      <c r="M279" s="268">
        <f t="shared" si="286"/>
        <v>128.02000000000001</v>
      </c>
      <c r="N279" s="268">
        <f t="shared" si="287"/>
        <v>10027.950000000001</v>
      </c>
      <c r="O279" s="268">
        <f t="shared" si="288"/>
        <v>10122.39</v>
      </c>
      <c r="P279" s="268">
        <f t="shared" si="289"/>
        <v>20150.34</v>
      </c>
      <c r="Q279" s="269">
        <f t="shared" si="291"/>
        <v>8.0000000000000002E-3</v>
      </c>
      <c r="R279" s="44"/>
      <c r="S279" s="49">
        <f t="shared" si="292"/>
        <v>15883.23</v>
      </c>
      <c r="T279" s="101"/>
      <c r="U279" s="48"/>
      <c r="V279" s="48"/>
      <c r="W279" s="48"/>
      <c r="X279" s="48"/>
      <c r="Y279" s="48"/>
      <c r="Z279" s="48"/>
      <c r="AA279" s="48"/>
      <c r="AB279" s="48"/>
      <c r="AC279" s="48"/>
      <c r="AD279" s="48"/>
      <c r="AE279" s="48"/>
      <c r="AF279" s="48"/>
      <c r="AG279" s="48"/>
      <c r="AH279" s="48"/>
      <c r="AI279" s="48"/>
      <c r="AJ279" s="48"/>
      <c r="AK279" s="44"/>
      <c r="AL279" s="44"/>
    </row>
    <row r="280" spans="1:38" ht="27.6" x14ac:dyDescent="0.25">
      <c r="A280" s="94"/>
      <c r="B280" s="265" t="s">
        <v>1262</v>
      </c>
      <c r="C280" s="266" t="s">
        <v>657</v>
      </c>
      <c r="D280" s="265" t="s">
        <v>199</v>
      </c>
      <c r="E280" s="265" t="s">
        <v>766</v>
      </c>
      <c r="F280" s="267" t="s">
        <v>240</v>
      </c>
      <c r="G280" s="277">
        <v>85.3</v>
      </c>
      <c r="H280" s="268">
        <v>47.53</v>
      </c>
      <c r="I280" s="287">
        <f>11.14+16.25</f>
        <v>27.39</v>
      </c>
      <c r="J280" s="268">
        <f t="shared" si="290"/>
        <v>34.75</v>
      </c>
      <c r="K280" s="292">
        <f t="shared" si="293"/>
        <v>20.14</v>
      </c>
      <c r="L280" s="268">
        <f t="shared" si="294"/>
        <v>25.55</v>
      </c>
      <c r="M280" s="268">
        <f t="shared" si="286"/>
        <v>60.3</v>
      </c>
      <c r="N280" s="268">
        <f t="shared" si="287"/>
        <v>2964.18</v>
      </c>
      <c r="O280" s="268">
        <f t="shared" si="288"/>
        <v>2179.42</v>
      </c>
      <c r="P280" s="268">
        <f t="shared" si="289"/>
        <v>5143.6000000000004</v>
      </c>
      <c r="Q280" s="269">
        <f t="shared" si="291"/>
        <v>2E-3</v>
      </c>
      <c r="R280" s="44"/>
      <c r="S280" s="49">
        <f t="shared" si="292"/>
        <v>4054.31</v>
      </c>
      <c r="T280" s="101"/>
      <c r="U280" s="48"/>
      <c r="V280" s="48"/>
      <c r="W280" s="48"/>
      <c r="X280" s="48"/>
      <c r="Y280" s="48"/>
      <c r="Z280" s="48"/>
      <c r="AA280" s="48"/>
      <c r="AB280" s="48"/>
      <c r="AC280" s="48"/>
      <c r="AD280" s="48"/>
      <c r="AE280" s="48"/>
      <c r="AF280" s="48"/>
      <c r="AG280" s="48"/>
      <c r="AH280" s="48"/>
      <c r="AI280" s="48"/>
      <c r="AJ280" s="48"/>
      <c r="AK280" s="44"/>
      <c r="AL280" s="44"/>
    </row>
    <row r="281" spans="1:38" ht="27.6" x14ac:dyDescent="0.25">
      <c r="A281" s="94"/>
      <c r="B281" s="265" t="s">
        <v>1263</v>
      </c>
      <c r="C281" s="266" t="s">
        <v>658</v>
      </c>
      <c r="D281" s="265" t="s">
        <v>199</v>
      </c>
      <c r="E281" s="265" t="s">
        <v>767</v>
      </c>
      <c r="F281" s="267" t="s">
        <v>240</v>
      </c>
      <c r="G281" s="277">
        <v>47</v>
      </c>
      <c r="H281" s="268">
        <v>77.94</v>
      </c>
      <c r="I281" s="287">
        <f>16.71+24.37</f>
        <v>41.08</v>
      </c>
      <c r="J281" s="268">
        <f t="shared" si="290"/>
        <v>52.12</v>
      </c>
      <c r="K281" s="292">
        <f t="shared" si="293"/>
        <v>36.86</v>
      </c>
      <c r="L281" s="268">
        <f t="shared" si="294"/>
        <v>46.76</v>
      </c>
      <c r="M281" s="268">
        <f t="shared" si="286"/>
        <v>98.88</v>
      </c>
      <c r="N281" s="268">
        <f t="shared" si="287"/>
        <v>2449.64</v>
      </c>
      <c r="O281" s="268">
        <f t="shared" si="288"/>
        <v>2197.7199999999998</v>
      </c>
      <c r="P281" s="268">
        <f t="shared" si="289"/>
        <v>4647.3599999999997</v>
      </c>
      <c r="Q281" s="269">
        <f t="shared" si="291"/>
        <v>1.8E-3</v>
      </c>
      <c r="R281" s="44"/>
      <c r="S281" s="49">
        <f t="shared" si="292"/>
        <v>3663.18</v>
      </c>
      <c r="T281" s="101"/>
      <c r="U281" s="48"/>
      <c r="V281" s="48"/>
      <c r="W281" s="48"/>
      <c r="X281" s="48"/>
      <c r="Y281" s="48"/>
      <c r="Z281" s="48"/>
      <c r="AA281" s="48"/>
      <c r="AB281" s="48"/>
      <c r="AC281" s="48"/>
      <c r="AD281" s="48"/>
      <c r="AE281" s="48"/>
      <c r="AF281" s="48"/>
      <c r="AG281" s="48"/>
      <c r="AH281" s="48"/>
      <c r="AI281" s="48"/>
      <c r="AJ281" s="48"/>
      <c r="AK281" s="44"/>
      <c r="AL281" s="44"/>
    </row>
    <row r="282" spans="1:38" x14ac:dyDescent="0.25">
      <c r="A282" s="94"/>
      <c r="B282" s="265" t="s">
        <v>1264</v>
      </c>
      <c r="C282" s="266" t="s">
        <v>659</v>
      </c>
      <c r="D282" s="265" t="s">
        <v>199</v>
      </c>
      <c r="E282" s="265" t="s">
        <v>768</v>
      </c>
      <c r="F282" s="267" t="s">
        <v>240</v>
      </c>
      <c r="G282" s="277">
        <v>48.9</v>
      </c>
      <c r="H282" s="268">
        <v>44.3</v>
      </c>
      <c r="I282" s="287">
        <f>9.29+13.54</f>
        <v>22.83</v>
      </c>
      <c r="J282" s="268">
        <f t="shared" si="290"/>
        <v>28.96</v>
      </c>
      <c r="K282" s="292">
        <f t="shared" si="293"/>
        <v>21.47</v>
      </c>
      <c r="L282" s="268">
        <f t="shared" si="294"/>
        <v>27.24</v>
      </c>
      <c r="M282" s="268">
        <f t="shared" si="286"/>
        <v>56.2</v>
      </c>
      <c r="N282" s="268">
        <f t="shared" si="287"/>
        <v>1416.14</v>
      </c>
      <c r="O282" s="268">
        <f t="shared" si="288"/>
        <v>1332.04</v>
      </c>
      <c r="P282" s="268">
        <f t="shared" si="289"/>
        <v>2748.18</v>
      </c>
      <c r="Q282" s="269">
        <f t="shared" si="291"/>
        <v>1.1000000000000001E-3</v>
      </c>
      <c r="R282" s="44"/>
      <c r="S282" s="49">
        <f t="shared" si="292"/>
        <v>2166.27</v>
      </c>
      <c r="T282" s="101"/>
      <c r="U282" s="48"/>
      <c r="V282" s="48"/>
      <c r="W282" s="48"/>
      <c r="X282" s="48"/>
      <c r="Y282" s="48"/>
      <c r="Z282" s="48"/>
      <c r="AA282" s="48"/>
      <c r="AB282" s="48"/>
      <c r="AC282" s="48"/>
      <c r="AD282" s="48"/>
      <c r="AE282" s="48"/>
      <c r="AF282" s="48"/>
      <c r="AG282" s="48"/>
      <c r="AH282" s="48"/>
      <c r="AI282" s="48"/>
      <c r="AJ282" s="48"/>
      <c r="AK282" s="44"/>
      <c r="AL282" s="44"/>
    </row>
    <row r="283" spans="1:38" ht="27.6" x14ac:dyDescent="0.25">
      <c r="A283" s="94"/>
      <c r="B283" s="265" t="s">
        <v>1265</v>
      </c>
      <c r="C283" s="266" t="s">
        <v>660</v>
      </c>
      <c r="D283" s="265" t="s">
        <v>199</v>
      </c>
      <c r="E283" s="265" t="s">
        <v>769</v>
      </c>
      <c r="F283" s="267" t="s">
        <v>240</v>
      </c>
      <c r="G283" s="277">
        <v>22.8</v>
      </c>
      <c r="H283" s="268">
        <v>34.200000000000003</v>
      </c>
      <c r="I283" s="287">
        <f>9.29+13.54</f>
        <v>22.83</v>
      </c>
      <c r="J283" s="268">
        <f t="shared" si="290"/>
        <v>28.96</v>
      </c>
      <c r="K283" s="292">
        <f t="shared" si="293"/>
        <v>11.37</v>
      </c>
      <c r="L283" s="268">
        <f t="shared" si="294"/>
        <v>14.43</v>
      </c>
      <c r="M283" s="268">
        <f t="shared" si="286"/>
        <v>43.39</v>
      </c>
      <c r="N283" s="268">
        <f t="shared" si="287"/>
        <v>660.29</v>
      </c>
      <c r="O283" s="268">
        <f t="shared" si="288"/>
        <v>329</v>
      </c>
      <c r="P283" s="268">
        <f t="shared" si="289"/>
        <v>989.29</v>
      </c>
      <c r="Q283" s="269">
        <f t="shared" si="291"/>
        <v>4.0000000000000002E-4</v>
      </c>
      <c r="R283" s="44"/>
      <c r="S283" s="49">
        <f t="shared" si="292"/>
        <v>779.76</v>
      </c>
      <c r="T283" s="101"/>
      <c r="U283" s="48"/>
      <c r="V283" s="48"/>
      <c r="W283" s="48"/>
      <c r="X283" s="48"/>
      <c r="Y283" s="48"/>
      <c r="Z283" s="48"/>
      <c r="AA283" s="48"/>
      <c r="AB283" s="48"/>
      <c r="AC283" s="48"/>
      <c r="AD283" s="48"/>
      <c r="AE283" s="48"/>
      <c r="AF283" s="48"/>
      <c r="AG283" s="48"/>
      <c r="AH283" s="48"/>
      <c r="AI283" s="48"/>
      <c r="AJ283" s="48"/>
      <c r="AK283" s="44"/>
      <c r="AL283" s="44"/>
    </row>
    <row r="284" spans="1:38" ht="27.6" x14ac:dyDescent="0.25">
      <c r="A284" s="94"/>
      <c r="B284" s="265" t="s">
        <v>1266</v>
      </c>
      <c r="C284" s="266" t="s">
        <v>661</v>
      </c>
      <c r="D284" s="265" t="s">
        <v>199</v>
      </c>
      <c r="E284" s="265" t="s">
        <v>770</v>
      </c>
      <c r="F284" s="267" t="s">
        <v>240</v>
      </c>
      <c r="G284" s="277">
        <v>1.5</v>
      </c>
      <c r="H284" s="268">
        <v>40.130000000000003</v>
      </c>
      <c r="I284" s="287">
        <f>9.29+13.54</f>
        <v>22.83</v>
      </c>
      <c r="J284" s="268">
        <f t="shared" si="290"/>
        <v>28.96</v>
      </c>
      <c r="K284" s="292">
        <f t="shared" si="293"/>
        <v>17.3</v>
      </c>
      <c r="L284" s="268">
        <f t="shared" si="294"/>
        <v>21.95</v>
      </c>
      <c r="M284" s="268">
        <f t="shared" si="286"/>
        <v>50.91</v>
      </c>
      <c r="N284" s="268">
        <f t="shared" si="287"/>
        <v>43.44</v>
      </c>
      <c r="O284" s="268">
        <f t="shared" si="288"/>
        <v>32.93</v>
      </c>
      <c r="P284" s="268">
        <f t="shared" si="289"/>
        <v>76.37</v>
      </c>
      <c r="Q284" s="269">
        <f t="shared" si="291"/>
        <v>0</v>
      </c>
      <c r="R284" s="44"/>
      <c r="S284" s="49">
        <f t="shared" si="292"/>
        <v>60.2</v>
      </c>
      <c r="T284" s="101"/>
      <c r="U284" s="48"/>
      <c r="V284" s="48"/>
      <c r="W284" s="48"/>
      <c r="X284" s="48"/>
      <c r="Y284" s="48"/>
      <c r="Z284" s="48"/>
      <c r="AA284" s="48"/>
      <c r="AB284" s="48"/>
      <c r="AC284" s="48"/>
      <c r="AD284" s="48"/>
      <c r="AE284" s="48"/>
      <c r="AF284" s="48"/>
      <c r="AG284" s="48"/>
      <c r="AH284" s="48"/>
      <c r="AI284" s="48"/>
      <c r="AJ284" s="48"/>
      <c r="AK284" s="44"/>
      <c r="AL284" s="44"/>
    </row>
    <row r="285" spans="1:38" x14ac:dyDescent="0.25">
      <c r="A285" s="94"/>
      <c r="B285" s="265" t="s">
        <v>1267</v>
      </c>
      <c r="C285" s="266" t="s">
        <v>662</v>
      </c>
      <c r="D285" s="265" t="s">
        <v>146</v>
      </c>
      <c r="E285" s="265" t="s">
        <v>663</v>
      </c>
      <c r="F285" s="267" t="s">
        <v>168</v>
      </c>
      <c r="G285" s="277">
        <v>9</v>
      </c>
      <c r="H285" s="268">
        <v>23.16</v>
      </c>
      <c r="I285" s="287">
        <f>0.88+0.9+4.4+3.14</f>
        <v>9.32</v>
      </c>
      <c r="J285" s="268">
        <f t="shared" si="290"/>
        <v>11.82</v>
      </c>
      <c r="K285" s="292">
        <f t="shared" si="293"/>
        <v>13.84</v>
      </c>
      <c r="L285" s="268">
        <f t="shared" si="294"/>
        <v>17.559999999999999</v>
      </c>
      <c r="M285" s="268">
        <f t="shared" si="286"/>
        <v>29.38</v>
      </c>
      <c r="N285" s="268">
        <f t="shared" si="287"/>
        <v>106.38</v>
      </c>
      <c r="O285" s="268">
        <f t="shared" si="288"/>
        <v>158.04</v>
      </c>
      <c r="P285" s="268">
        <f t="shared" si="289"/>
        <v>264.42</v>
      </c>
      <c r="Q285" s="269">
        <f t="shared" si="291"/>
        <v>1E-4</v>
      </c>
      <c r="R285" s="44"/>
      <c r="S285" s="49">
        <f t="shared" si="292"/>
        <v>208.44</v>
      </c>
      <c r="T285" s="101"/>
      <c r="U285" s="48"/>
      <c r="V285" s="48"/>
      <c r="W285" s="48"/>
      <c r="X285" s="48"/>
      <c r="Y285" s="48"/>
      <c r="Z285" s="48"/>
      <c r="AA285" s="48"/>
      <c r="AB285" s="48"/>
      <c r="AC285" s="48"/>
      <c r="AD285" s="48"/>
      <c r="AE285" s="48"/>
      <c r="AF285" s="48"/>
      <c r="AG285" s="48"/>
      <c r="AH285" s="48"/>
      <c r="AI285" s="48"/>
      <c r="AJ285" s="48"/>
      <c r="AK285" s="44"/>
      <c r="AL285" s="44"/>
    </row>
    <row r="286" spans="1:38" ht="27.6" x14ac:dyDescent="0.25">
      <c r="A286" s="94"/>
      <c r="B286" s="265" t="s">
        <v>1268</v>
      </c>
      <c r="C286" s="266" t="s">
        <v>618</v>
      </c>
      <c r="D286" s="265" t="s">
        <v>40</v>
      </c>
      <c r="E286" s="265" t="s">
        <v>619</v>
      </c>
      <c r="F286" s="267" t="s">
        <v>44</v>
      </c>
      <c r="G286" s="277">
        <v>17</v>
      </c>
      <c r="H286" s="268">
        <f t="shared" ref="H286:H313" si="295">I286+K286</f>
        <v>6.11</v>
      </c>
      <c r="I286" s="287">
        <v>3.15</v>
      </c>
      <c r="J286" s="268">
        <f t="shared" si="290"/>
        <v>4</v>
      </c>
      <c r="K286" s="292">
        <v>2.96</v>
      </c>
      <c r="L286" s="268">
        <f t="shared" si="294"/>
        <v>3.76</v>
      </c>
      <c r="M286" s="268">
        <f t="shared" si="286"/>
        <v>7.76</v>
      </c>
      <c r="N286" s="268">
        <f t="shared" si="287"/>
        <v>68</v>
      </c>
      <c r="O286" s="268">
        <f t="shared" si="288"/>
        <v>63.92</v>
      </c>
      <c r="P286" s="268">
        <f t="shared" si="289"/>
        <v>131.91999999999999</v>
      </c>
      <c r="Q286" s="269">
        <f t="shared" si="291"/>
        <v>1E-4</v>
      </c>
      <c r="R286" s="44"/>
      <c r="S286" s="49">
        <f t="shared" si="292"/>
        <v>103.87</v>
      </c>
      <c r="T286" s="141"/>
      <c r="U286" s="48"/>
      <c r="V286" s="48"/>
      <c r="W286" s="48"/>
      <c r="X286" s="48"/>
      <c r="Y286" s="48"/>
      <c r="Z286" s="48"/>
      <c r="AA286" s="48"/>
      <c r="AB286" s="48"/>
      <c r="AC286" s="48"/>
      <c r="AD286" s="48"/>
      <c r="AE286" s="48"/>
      <c r="AF286" s="48"/>
      <c r="AG286" s="48"/>
      <c r="AH286" s="48"/>
      <c r="AI286" s="48"/>
      <c r="AJ286" s="48"/>
      <c r="AK286" s="44"/>
      <c r="AL286" s="44"/>
    </row>
    <row r="287" spans="1:38" ht="27.6" x14ac:dyDescent="0.25">
      <c r="A287" s="94"/>
      <c r="B287" s="265" t="s">
        <v>1269</v>
      </c>
      <c r="C287" s="266" t="s">
        <v>177</v>
      </c>
      <c r="D287" s="265" t="s">
        <v>40</v>
      </c>
      <c r="E287" s="265" t="s">
        <v>178</v>
      </c>
      <c r="F287" s="267" t="s">
        <v>44</v>
      </c>
      <c r="G287" s="277">
        <v>17</v>
      </c>
      <c r="H287" s="268">
        <f t="shared" si="295"/>
        <v>9.33</v>
      </c>
      <c r="I287" s="287">
        <v>3.62</v>
      </c>
      <c r="J287" s="268">
        <f t="shared" si="290"/>
        <v>4.59</v>
      </c>
      <c r="K287" s="292">
        <v>5.71</v>
      </c>
      <c r="L287" s="268">
        <f t="shared" si="294"/>
        <v>7.24</v>
      </c>
      <c r="M287" s="268">
        <f t="shared" si="286"/>
        <v>11.83</v>
      </c>
      <c r="N287" s="268">
        <f t="shared" si="287"/>
        <v>78.03</v>
      </c>
      <c r="O287" s="268">
        <f t="shared" si="288"/>
        <v>123.08</v>
      </c>
      <c r="P287" s="268">
        <f t="shared" si="289"/>
        <v>201.11</v>
      </c>
      <c r="Q287" s="269">
        <f t="shared" si="291"/>
        <v>1E-4</v>
      </c>
      <c r="R287" s="44"/>
      <c r="S287" s="49">
        <f t="shared" si="292"/>
        <v>158.61000000000001</v>
      </c>
      <c r="T287" s="48"/>
      <c r="U287" s="48"/>
      <c r="V287" s="48"/>
      <c r="W287" s="48"/>
      <c r="X287" s="48"/>
      <c r="Y287" s="48"/>
      <c r="Z287" s="48"/>
      <c r="AA287" s="48"/>
      <c r="AB287" s="48"/>
      <c r="AC287" s="48"/>
      <c r="AD287" s="48"/>
      <c r="AE287" s="48"/>
      <c r="AF287" s="48"/>
      <c r="AG287" s="48"/>
      <c r="AH287" s="48"/>
      <c r="AI287" s="48"/>
      <c r="AJ287" s="48"/>
      <c r="AK287" s="44"/>
      <c r="AL287" s="44"/>
    </row>
    <row r="288" spans="1:38" ht="27.6" x14ac:dyDescent="0.25">
      <c r="A288" s="142"/>
      <c r="B288" s="265" t="s">
        <v>1270</v>
      </c>
      <c r="C288" s="266" t="s">
        <v>628</v>
      </c>
      <c r="D288" s="265" t="s">
        <v>40</v>
      </c>
      <c r="E288" s="265" t="s">
        <v>629</v>
      </c>
      <c r="F288" s="267" t="s">
        <v>44</v>
      </c>
      <c r="G288" s="277">
        <v>17</v>
      </c>
      <c r="H288" s="268">
        <f t="shared" si="295"/>
        <v>11.53</v>
      </c>
      <c r="I288" s="287">
        <v>3.35</v>
      </c>
      <c r="J288" s="268">
        <f t="shared" si="290"/>
        <v>4.25</v>
      </c>
      <c r="K288" s="292">
        <v>8.18</v>
      </c>
      <c r="L288" s="268">
        <f t="shared" si="294"/>
        <v>10.38</v>
      </c>
      <c r="M288" s="268">
        <f t="shared" si="286"/>
        <v>14.63</v>
      </c>
      <c r="N288" s="268">
        <f t="shared" si="287"/>
        <v>72.25</v>
      </c>
      <c r="O288" s="268">
        <f t="shared" si="288"/>
        <v>176.46</v>
      </c>
      <c r="P288" s="268">
        <f t="shared" si="289"/>
        <v>248.71</v>
      </c>
      <c r="Q288" s="269">
        <f t="shared" si="291"/>
        <v>1E-4</v>
      </c>
      <c r="R288" s="44"/>
      <c r="S288" s="49">
        <f t="shared" si="292"/>
        <v>196.01</v>
      </c>
      <c r="T288" s="143"/>
      <c r="U288" s="143"/>
      <c r="V288" s="143"/>
      <c r="W288" s="143"/>
      <c r="X288" s="143"/>
      <c r="Y288" s="143"/>
      <c r="Z288" s="143"/>
      <c r="AA288" s="143"/>
      <c r="AB288" s="143"/>
      <c r="AC288" s="143"/>
      <c r="AD288" s="143"/>
      <c r="AE288" s="143"/>
      <c r="AF288" s="143"/>
      <c r="AG288" s="143"/>
      <c r="AH288" s="143"/>
      <c r="AI288" s="143"/>
      <c r="AJ288" s="143"/>
      <c r="AK288" s="44"/>
      <c r="AL288" s="44"/>
    </row>
    <row r="289" spans="1:38" ht="27.6" x14ac:dyDescent="0.25">
      <c r="A289" s="142"/>
      <c r="B289" s="265" t="s">
        <v>1271</v>
      </c>
      <c r="C289" s="266" t="s">
        <v>175</v>
      </c>
      <c r="D289" s="265" t="s">
        <v>40</v>
      </c>
      <c r="E289" s="265" t="s">
        <v>176</v>
      </c>
      <c r="F289" s="267" t="s">
        <v>44</v>
      </c>
      <c r="G289" s="277">
        <v>34</v>
      </c>
      <c r="H289" s="268">
        <f t="shared" si="295"/>
        <v>7.35</v>
      </c>
      <c r="I289" s="287">
        <v>4.53</v>
      </c>
      <c r="J289" s="268">
        <f t="shared" si="290"/>
        <v>5.75</v>
      </c>
      <c r="K289" s="292">
        <v>2.82</v>
      </c>
      <c r="L289" s="268">
        <f t="shared" si="294"/>
        <v>3.58</v>
      </c>
      <c r="M289" s="268">
        <f t="shared" si="286"/>
        <v>9.33</v>
      </c>
      <c r="N289" s="268">
        <f t="shared" si="287"/>
        <v>195.5</v>
      </c>
      <c r="O289" s="268">
        <f t="shared" si="288"/>
        <v>121.72</v>
      </c>
      <c r="P289" s="268">
        <f t="shared" si="289"/>
        <v>317.22000000000003</v>
      </c>
      <c r="Q289" s="269">
        <f t="shared" si="291"/>
        <v>1E-4</v>
      </c>
      <c r="R289" s="44"/>
      <c r="S289" s="49">
        <f t="shared" si="292"/>
        <v>249.9</v>
      </c>
      <c r="T289" s="143"/>
      <c r="U289" s="143"/>
      <c r="V289" s="143"/>
      <c r="W289" s="143"/>
      <c r="X289" s="143"/>
      <c r="Y289" s="143"/>
      <c r="Z289" s="143"/>
      <c r="AA289" s="143"/>
      <c r="AB289" s="143"/>
      <c r="AC289" s="143"/>
      <c r="AD289" s="143"/>
      <c r="AE289" s="143"/>
      <c r="AF289" s="143"/>
      <c r="AG289" s="143"/>
      <c r="AH289" s="143"/>
      <c r="AI289" s="143"/>
      <c r="AJ289" s="143"/>
      <c r="AK289" s="44"/>
      <c r="AL289" s="44"/>
    </row>
    <row r="290" spans="1:38" ht="27.6" x14ac:dyDescent="0.25">
      <c r="A290" s="142"/>
      <c r="B290" s="265" t="s">
        <v>1272</v>
      </c>
      <c r="C290" s="266" t="s">
        <v>397</v>
      </c>
      <c r="D290" s="265" t="s">
        <v>40</v>
      </c>
      <c r="E290" s="265" t="s">
        <v>398</v>
      </c>
      <c r="F290" s="267" t="s">
        <v>55</v>
      </c>
      <c r="G290" s="277">
        <v>102</v>
      </c>
      <c r="H290" s="268">
        <f t="shared" si="295"/>
        <v>20.190000000000001</v>
      </c>
      <c r="I290" s="287">
        <v>12.65</v>
      </c>
      <c r="J290" s="268">
        <f t="shared" si="290"/>
        <v>16.05</v>
      </c>
      <c r="K290" s="292">
        <v>7.54</v>
      </c>
      <c r="L290" s="268">
        <f t="shared" si="294"/>
        <v>9.57</v>
      </c>
      <c r="M290" s="268">
        <f t="shared" si="286"/>
        <v>25.62</v>
      </c>
      <c r="N290" s="268">
        <f t="shared" si="287"/>
        <v>1637.1</v>
      </c>
      <c r="O290" s="268">
        <f t="shared" si="288"/>
        <v>976.14</v>
      </c>
      <c r="P290" s="268">
        <f t="shared" si="289"/>
        <v>2613.2399999999998</v>
      </c>
      <c r="Q290" s="269">
        <f t="shared" si="291"/>
        <v>1E-3</v>
      </c>
      <c r="R290" s="44"/>
      <c r="S290" s="49">
        <f t="shared" si="292"/>
        <v>2059.38</v>
      </c>
      <c r="T290" s="143"/>
      <c r="U290" s="143"/>
      <c r="V290" s="143"/>
      <c r="W290" s="143"/>
      <c r="X290" s="143"/>
      <c r="Y290" s="143"/>
      <c r="Z290" s="143"/>
      <c r="AA290" s="143"/>
      <c r="AB290" s="143"/>
      <c r="AC290" s="143"/>
      <c r="AD290" s="143"/>
      <c r="AE290" s="143"/>
      <c r="AF290" s="143"/>
      <c r="AG290" s="143"/>
      <c r="AH290" s="143"/>
      <c r="AI290" s="143"/>
      <c r="AJ290" s="143"/>
      <c r="AK290" s="44"/>
      <c r="AL290" s="44"/>
    </row>
    <row r="291" spans="1:38" x14ac:dyDescent="0.25">
      <c r="A291" s="142"/>
      <c r="B291" s="265" t="s">
        <v>1273</v>
      </c>
      <c r="C291" s="266" t="s">
        <v>1490</v>
      </c>
      <c r="D291" s="265" t="s">
        <v>146</v>
      </c>
      <c r="E291" s="265" t="s">
        <v>1491</v>
      </c>
      <c r="F291" s="267" t="s">
        <v>168</v>
      </c>
      <c r="G291" s="277">
        <v>1</v>
      </c>
      <c r="H291" s="268">
        <v>423.01</v>
      </c>
      <c r="I291" s="287">
        <f>3.75+3.82+18.75+13.38</f>
        <v>39.700000000000003</v>
      </c>
      <c r="J291" s="268">
        <f t="shared" si="290"/>
        <v>50.37</v>
      </c>
      <c r="K291" s="292">
        <f>H291-I291</f>
        <v>383.31</v>
      </c>
      <c r="L291" s="268">
        <f t="shared" si="294"/>
        <v>486.31</v>
      </c>
      <c r="M291" s="268">
        <f t="shared" si="286"/>
        <v>536.67999999999995</v>
      </c>
      <c r="N291" s="268">
        <f t="shared" si="287"/>
        <v>50.37</v>
      </c>
      <c r="O291" s="268">
        <f t="shared" si="288"/>
        <v>486.31</v>
      </c>
      <c r="P291" s="268">
        <f t="shared" si="289"/>
        <v>536.67999999999995</v>
      </c>
      <c r="Q291" s="269">
        <f t="shared" si="291"/>
        <v>2.0000000000000001E-4</v>
      </c>
      <c r="R291" s="44"/>
      <c r="S291" s="49">
        <f t="shared" si="292"/>
        <v>423.01</v>
      </c>
      <c r="T291" s="143"/>
      <c r="U291" s="143"/>
      <c r="V291" s="143"/>
      <c r="W291" s="143"/>
      <c r="X291" s="143"/>
      <c r="Y291" s="143"/>
      <c r="Z291" s="143"/>
      <c r="AA291" s="143"/>
      <c r="AB291" s="143"/>
      <c r="AC291" s="143"/>
      <c r="AD291" s="143"/>
      <c r="AE291" s="143"/>
      <c r="AF291" s="143"/>
      <c r="AG291" s="143"/>
      <c r="AH291" s="143"/>
      <c r="AI291" s="143"/>
      <c r="AJ291" s="143"/>
      <c r="AK291" s="44"/>
      <c r="AL291" s="44"/>
    </row>
    <row r="292" spans="1:38" x14ac:dyDescent="0.25">
      <c r="A292" s="22"/>
      <c r="B292" s="261" t="s">
        <v>1274</v>
      </c>
      <c r="C292" s="261"/>
      <c r="D292" s="261"/>
      <c r="E292" s="261" t="s">
        <v>664</v>
      </c>
      <c r="F292" s="261"/>
      <c r="G292" s="276"/>
      <c r="H292" s="262"/>
      <c r="I292" s="286"/>
      <c r="J292" s="261"/>
      <c r="K292" s="291"/>
      <c r="L292" s="261"/>
      <c r="M292" s="261"/>
      <c r="N292" s="261"/>
      <c r="O292" s="261"/>
      <c r="P292" s="263"/>
      <c r="Q292" s="263"/>
      <c r="R292" s="44"/>
      <c r="S292" s="49">
        <f t="shared" si="292"/>
        <v>0</v>
      </c>
      <c r="T292" s="143"/>
      <c r="U292" s="143"/>
      <c r="V292" s="143"/>
      <c r="W292" s="143"/>
      <c r="X292" s="143"/>
      <c r="Y292" s="143"/>
      <c r="Z292" s="143"/>
      <c r="AA292" s="143"/>
      <c r="AB292" s="143"/>
      <c r="AC292" s="143"/>
      <c r="AD292" s="143"/>
      <c r="AE292" s="143"/>
      <c r="AF292" s="143"/>
      <c r="AG292" s="143"/>
      <c r="AH292" s="143"/>
      <c r="AI292" s="143"/>
      <c r="AJ292" s="143"/>
      <c r="AK292" s="44"/>
      <c r="AL292" s="44"/>
    </row>
    <row r="293" spans="1:38" ht="27.6" x14ac:dyDescent="0.25">
      <c r="A293" s="22"/>
      <c r="B293" s="265" t="s">
        <v>1275</v>
      </c>
      <c r="C293" s="266" t="s">
        <v>856</v>
      </c>
      <c r="D293" s="265" t="s">
        <v>146</v>
      </c>
      <c r="E293" s="265" t="s">
        <v>1107</v>
      </c>
      <c r="F293" s="267" t="s">
        <v>168</v>
      </c>
      <c r="G293" s="277">
        <v>4</v>
      </c>
      <c r="H293" s="268">
        <v>543.91</v>
      </c>
      <c r="I293" s="287">
        <f>4.56+16.61+1.12+58.48+0.52+70.11</f>
        <v>151.4</v>
      </c>
      <c r="J293" s="268">
        <f t="shared" si="290"/>
        <v>192.08</v>
      </c>
      <c r="K293" s="292">
        <f>H293-I293</f>
        <v>392.51</v>
      </c>
      <c r="L293" s="268">
        <f t="shared" si="294"/>
        <v>497.98</v>
      </c>
      <c r="M293" s="268">
        <f t="shared" ref="M293" si="296">L293+J293</f>
        <v>690.06</v>
      </c>
      <c r="N293" s="268">
        <f t="shared" ref="N293" si="297">J293*G293</f>
        <v>768.32</v>
      </c>
      <c r="O293" s="268">
        <f t="shared" ref="O293" si="298">L293*G293</f>
        <v>1991.92</v>
      </c>
      <c r="P293" s="268">
        <f t="shared" ref="P293" si="299">O293+N293</f>
        <v>2760.24</v>
      </c>
      <c r="Q293" s="269">
        <f t="shared" si="291"/>
        <v>1.1000000000000001E-3</v>
      </c>
      <c r="R293" s="44"/>
      <c r="S293" s="49">
        <f t="shared" si="292"/>
        <v>2175.64</v>
      </c>
      <c r="T293" s="143"/>
      <c r="U293" s="143"/>
      <c r="V293" s="143"/>
      <c r="W293" s="143"/>
      <c r="X293" s="143"/>
      <c r="Y293" s="143"/>
      <c r="Z293" s="143"/>
      <c r="AA293" s="143"/>
      <c r="AB293" s="143"/>
      <c r="AC293" s="143"/>
      <c r="AD293" s="143"/>
      <c r="AE293" s="143"/>
      <c r="AF293" s="143"/>
      <c r="AG293" s="143"/>
      <c r="AH293" s="143"/>
      <c r="AI293" s="143"/>
      <c r="AJ293" s="143"/>
      <c r="AK293" s="44"/>
      <c r="AL293" s="44"/>
    </row>
    <row r="294" spans="1:38" ht="27.6" x14ac:dyDescent="0.25">
      <c r="A294" s="22"/>
      <c r="B294" s="265" t="s">
        <v>1276</v>
      </c>
      <c r="C294" s="266" t="s">
        <v>1492</v>
      </c>
      <c r="D294" s="265" t="s">
        <v>40</v>
      </c>
      <c r="E294" s="265" t="s">
        <v>1493</v>
      </c>
      <c r="F294" s="267" t="s">
        <v>44</v>
      </c>
      <c r="G294" s="277">
        <v>1</v>
      </c>
      <c r="H294" s="268">
        <f t="shared" si="295"/>
        <v>2186.5700000000002</v>
      </c>
      <c r="I294" s="287">
        <v>568.54999999999995</v>
      </c>
      <c r="J294" s="268">
        <f t="shared" si="290"/>
        <v>721.32</v>
      </c>
      <c r="K294" s="292">
        <f>10.17+1606.34+1.51</f>
        <v>1618.02</v>
      </c>
      <c r="L294" s="268">
        <f t="shared" si="294"/>
        <v>2052.7800000000002</v>
      </c>
      <c r="M294" s="268">
        <f t="shared" ref="M294:M310" si="300">L294+J294</f>
        <v>2774.1</v>
      </c>
      <c r="N294" s="268">
        <f t="shared" ref="N294:N310" si="301">J294*G294</f>
        <v>721.32</v>
      </c>
      <c r="O294" s="268">
        <f t="shared" ref="O294:O310" si="302">L294*G294</f>
        <v>2052.7800000000002</v>
      </c>
      <c r="P294" s="268">
        <f t="shared" ref="P294:P310" si="303">O294+N294</f>
        <v>2774.1</v>
      </c>
      <c r="Q294" s="269">
        <f t="shared" si="291"/>
        <v>1.1000000000000001E-3</v>
      </c>
      <c r="R294" s="44"/>
      <c r="S294" s="49">
        <f t="shared" si="292"/>
        <v>2186.5700000000002</v>
      </c>
      <c r="T294" s="143"/>
      <c r="U294" s="143"/>
      <c r="V294" s="143"/>
      <c r="W294" s="143"/>
      <c r="X294" s="143"/>
      <c r="Y294" s="143"/>
      <c r="Z294" s="143"/>
      <c r="AA294" s="143"/>
      <c r="AB294" s="143"/>
      <c r="AC294" s="143"/>
      <c r="AD294" s="143"/>
      <c r="AE294" s="143"/>
      <c r="AF294" s="143"/>
      <c r="AG294" s="143"/>
      <c r="AH294" s="143"/>
      <c r="AI294" s="143"/>
      <c r="AJ294" s="143"/>
      <c r="AK294" s="44"/>
      <c r="AL294" s="44"/>
    </row>
    <row r="295" spans="1:38" x14ac:dyDescent="0.25">
      <c r="A295" s="22"/>
      <c r="B295" s="265" t="s">
        <v>1277</v>
      </c>
      <c r="C295" s="266" t="s">
        <v>1110</v>
      </c>
      <c r="D295" s="265" t="s">
        <v>51</v>
      </c>
      <c r="E295" s="265" t="s">
        <v>1111</v>
      </c>
      <c r="F295" s="267" t="s">
        <v>44</v>
      </c>
      <c r="G295" s="277">
        <v>8</v>
      </c>
      <c r="H295" s="268">
        <f t="shared" si="295"/>
        <v>0</v>
      </c>
      <c r="I295" s="287"/>
      <c r="J295" s="268">
        <f t="shared" si="290"/>
        <v>0</v>
      </c>
      <c r="K295" s="292"/>
      <c r="L295" s="268">
        <f t="shared" si="294"/>
        <v>0</v>
      </c>
      <c r="M295" s="268">
        <f t="shared" si="300"/>
        <v>0</v>
      </c>
      <c r="N295" s="268">
        <f t="shared" si="301"/>
        <v>0</v>
      </c>
      <c r="O295" s="268">
        <f t="shared" si="302"/>
        <v>0</v>
      </c>
      <c r="P295" s="268">
        <f t="shared" si="303"/>
        <v>0</v>
      </c>
      <c r="Q295" s="269">
        <f t="shared" si="291"/>
        <v>0</v>
      </c>
      <c r="R295" s="44"/>
      <c r="S295" s="49">
        <f t="shared" si="292"/>
        <v>0</v>
      </c>
      <c r="T295" s="143"/>
      <c r="U295" s="143"/>
      <c r="V295" s="143"/>
      <c r="W295" s="143"/>
      <c r="X295" s="143"/>
      <c r="Y295" s="143"/>
      <c r="Z295" s="143"/>
      <c r="AA295" s="143"/>
      <c r="AB295" s="143"/>
      <c r="AC295" s="143"/>
      <c r="AD295" s="143"/>
      <c r="AE295" s="143"/>
      <c r="AF295" s="143"/>
      <c r="AG295" s="143"/>
      <c r="AH295" s="143"/>
      <c r="AI295" s="143"/>
      <c r="AJ295" s="143"/>
      <c r="AK295" s="44"/>
      <c r="AL295" s="44"/>
    </row>
    <row r="296" spans="1:38" ht="27.6" x14ac:dyDescent="0.25">
      <c r="A296" s="22"/>
      <c r="B296" s="265" t="s">
        <v>1278</v>
      </c>
      <c r="C296" s="266" t="s">
        <v>645</v>
      </c>
      <c r="D296" s="265" t="s">
        <v>40</v>
      </c>
      <c r="E296" s="265" t="s">
        <v>646</v>
      </c>
      <c r="F296" s="267" t="s">
        <v>44</v>
      </c>
      <c r="G296" s="277">
        <v>4</v>
      </c>
      <c r="H296" s="268">
        <f t="shared" si="295"/>
        <v>61.96</v>
      </c>
      <c r="I296" s="287">
        <v>4.3499999999999996</v>
      </c>
      <c r="J296" s="268">
        <f t="shared" si="290"/>
        <v>5.52</v>
      </c>
      <c r="K296" s="292">
        <v>57.61</v>
      </c>
      <c r="L296" s="268">
        <f t="shared" si="294"/>
        <v>73.09</v>
      </c>
      <c r="M296" s="268">
        <f t="shared" si="300"/>
        <v>78.61</v>
      </c>
      <c r="N296" s="268">
        <f t="shared" si="301"/>
        <v>22.08</v>
      </c>
      <c r="O296" s="268">
        <f t="shared" si="302"/>
        <v>292.36</v>
      </c>
      <c r="P296" s="268">
        <f t="shared" si="303"/>
        <v>314.44</v>
      </c>
      <c r="Q296" s="269">
        <f t="shared" si="291"/>
        <v>1E-4</v>
      </c>
      <c r="R296" s="44"/>
      <c r="S296" s="49">
        <f t="shared" si="292"/>
        <v>247.84</v>
      </c>
      <c r="T296" s="143"/>
      <c r="U296" s="143"/>
      <c r="V296" s="143"/>
      <c r="W296" s="143"/>
      <c r="X296" s="143"/>
      <c r="Y296" s="143"/>
      <c r="Z296" s="143"/>
      <c r="AA296" s="143"/>
      <c r="AB296" s="143"/>
      <c r="AC296" s="143"/>
      <c r="AD296" s="143"/>
      <c r="AE296" s="143"/>
      <c r="AF296" s="143"/>
      <c r="AG296" s="143"/>
      <c r="AH296" s="143"/>
      <c r="AI296" s="143"/>
      <c r="AJ296" s="143"/>
      <c r="AK296" s="44"/>
      <c r="AL296" s="44"/>
    </row>
    <row r="297" spans="1:38" ht="27.6" x14ac:dyDescent="0.25">
      <c r="A297" s="22"/>
      <c r="B297" s="265" t="s">
        <v>1279</v>
      </c>
      <c r="C297" s="266">
        <v>89811</v>
      </c>
      <c r="D297" s="265" t="s">
        <v>40</v>
      </c>
      <c r="E297" s="265" t="s">
        <v>612</v>
      </c>
      <c r="F297" s="267" t="s">
        <v>44</v>
      </c>
      <c r="G297" s="277">
        <v>13</v>
      </c>
      <c r="H297" s="268">
        <f t="shared" si="295"/>
        <v>41.09</v>
      </c>
      <c r="I297" s="287">
        <v>7.19</v>
      </c>
      <c r="J297" s="268">
        <f t="shared" si="290"/>
        <v>9.1199999999999992</v>
      </c>
      <c r="K297" s="292">
        <v>33.9</v>
      </c>
      <c r="L297" s="268">
        <f t="shared" si="294"/>
        <v>43.01</v>
      </c>
      <c r="M297" s="268">
        <f t="shared" si="300"/>
        <v>52.13</v>
      </c>
      <c r="N297" s="268">
        <f t="shared" si="301"/>
        <v>118.56</v>
      </c>
      <c r="O297" s="268">
        <f t="shared" si="302"/>
        <v>559.13</v>
      </c>
      <c r="P297" s="268">
        <f t="shared" si="303"/>
        <v>677.69</v>
      </c>
      <c r="Q297" s="269">
        <f t="shared" si="291"/>
        <v>2.9999999999999997E-4</v>
      </c>
      <c r="R297" s="44"/>
      <c r="S297" s="49">
        <f t="shared" si="292"/>
        <v>534.16999999999996</v>
      </c>
      <c r="T297" s="143"/>
      <c r="U297" s="143"/>
      <c r="V297" s="143"/>
      <c r="W297" s="143"/>
      <c r="X297" s="143"/>
      <c r="Y297" s="143"/>
      <c r="Z297" s="143"/>
      <c r="AA297" s="143"/>
      <c r="AB297" s="143"/>
      <c r="AC297" s="143"/>
      <c r="AD297" s="143"/>
      <c r="AE297" s="143"/>
      <c r="AF297" s="143"/>
      <c r="AG297" s="143"/>
      <c r="AH297" s="143"/>
      <c r="AI297" s="143"/>
      <c r="AJ297" s="143"/>
      <c r="AK297" s="44"/>
      <c r="AL297" s="44"/>
    </row>
    <row r="298" spans="1:38" ht="27.6" x14ac:dyDescent="0.25">
      <c r="A298" s="22"/>
      <c r="B298" s="265" t="s">
        <v>1280</v>
      </c>
      <c r="C298" s="266" t="s">
        <v>656</v>
      </c>
      <c r="D298" s="265" t="s">
        <v>199</v>
      </c>
      <c r="E298" s="265" t="s">
        <v>765</v>
      </c>
      <c r="F298" s="267" t="s">
        <v>240</v>
      </c>
      <c r="G298" s="277">
        <v>21.7</v>
      </c>
      <c r="H298" s="268">
        <v>100.91</v>
      </c>
      <c r="I298" s="287">
        <f>20.43+29.79</f>
        <v>50.22</v>
      </c>
      <c r="J298" s="268">
        <f t="shared" si="290"/>
        <v>63.71</v>
      </c>
      <c r="K298" s="292">
        <f>H298-I298</f>
        <v>50.69</v>
      </c>
      <c r="L298" s="268">
        <f t="shared" si="294"/>
        <v>64.31</v>
      </c>
      <c r="M298" s="268">
        <f t="shared" si="300"/>
        <v>128.02000000000001</v>
      </c>
      <c r="N298" s="268">
        <f t="shared" si="301"/>
        <v>1382.51</v>
      </c>
      <c r="O298" s="268">
        <f t="shared" si="302"/>
        <v>1395.53</v>
      </c>
      <c r="P298" s="268">
        <f t="shared" si="303"/>
        <v>2778.04</v>
      </c>
      <c r="Q298" s="269">
        <f t="shared" si="291"/>
        <v>1.1000000000000001E-3</v>
      </c>
      <c r="R298" s="44"/>
      <c r="S298" s="49">
        <f t="shared" si="292"/>
        <v>2189.75</v>
      </c>
      <c r="T298" s="143"/>
      <c r="U298" s="143"/>
      <c r="V298" s="143"/>
      <c r="W298" s="143"/>
      <c r="X298" s="143"/>
      <c r="Y298" s="143"/>
      <c r="Z298" s="143"/>
      <c r="AA298" s="143"/>
      <c r="AB298" s="143"/>
      <c r="AC298" s="143"/>
      <c r="AD298" s="143"/>
      <c r="AE298" s="143"/>
      <c r="AF298" s="143"/>
      <c r="AG298" s="143"/>
      <c r="AH298" s="143"/>
      <c r="AI298" s="143"/>
      <c r="AJ298" s="143"/>
      <c r="AK298" s="44"/>
      <c r="AL298" s="44"/>
    </row>
    <row r="299" spans="1:38" x14ac:dyDescent="0.25">
      <c r="A299" s="22"/>
      <c r="B299" s="265" t="s">
        <v>1281</v>
      </c>
      <c r="C299" s="266" t="s">
        <v>613</v>
      </c>
      <c r="D299" s="265" t="s">
        <v>199</v>
      </c>
      <c r="E299" s="265" t="s">
        <v>763</v>
      </c>
      <c r="F299" s="267" t="s">
        <v>240</v>
      </c>
      <c r="G299" s="277">
        <v>64.7</v>
      </c>
      <c r="H299" s="268">
        <v>44.79</v>
      </c>
      <c r="I299" s="287">
        <f>9.29+6.77</f>
        <v>16.059999999999999</v>
      </c>
      <c r="J299" s="268">
        <f t="shared" si="290"/>
        <v>20.38</v>
      </c>
      <c r="K299" s="292">
        <f>H299-I299</f>
        <v>28.73</v>
      </c>
      <c r="L299" s="268">
        <f t="shared" si="294"/>
        <v>36.450000000000003</v>
      </c>
      <c r="M299" s="268">
        <f t="shared" si="300"/>
        <v>56.83</v>
      </c>
      <c r="N299" s="268">
        <f t="shared" si="301"/>
        <v>1318.59</v>
      </c>
      <c r="O299" s="268">
        <f t="shared" si="302"/>
        <v>2358.3200000000002</v>
      </c>
      <c r="P299" s="268">
        <f t="shared" si="303"/>
        <v>3676.91</v>
      </c>
      <c r="Q299" s="269">
        <f t="shared" si="291"/>
        <v>1.5E-3</v>
      </c>
      <c r="R299" s="44"/>
      <c r="S299" s="49">
        <f t="shared" si="292"/>
        <v>2897.91</v>
      </c>
      <c r="T299" s="143"/>
      <c r="U299" s="143"/>
      <c r="V299" s="143"/>
      <c r="W299" s="143"/>
      <c r="X299" s="143"/>
      <c r="Y299" s="143"/>
      <c r="Z299" s="143"/>
      <c r="AA299" s="143"/>
      <c r="AB299" s="143"/>
      <c r="AC299" s="143"/>
      <c r="AD299" s="143"/>
      <c r="AE299" s="143"/>
      <c r="AF299" s="143"/>
      <c r="AG299" s="143"/>
      <c r="AH299" s="143"/>
      <c r="AI299" s="143"/>
      <c r="AJ299" s="143"/>
      <c r="AK299" s="44"/>
      <c r="AL299" s="44"/>
    </row>
    <row r="300" spans="1:38" x14ac:dyDescent="0.25">
      <c r="A300" s="22"/>
      <c r="B300" s="265" t="s">
        <v>1282</v>
      </c>
      <c r="C300" s="266" t="s">
        <v>854</v>
      </c>
      <c r="D300" s="265" t="s">
        <v>199</v>
      </c>
      <c r="E300" s="265" t="s">
        <v>855</v>
      </c>
      <c r="F300" s="267" t="s">
        <v>240</v>
      </c>
      <c r="G300" s="277">
        <v>25</v>
      </c>
      <c r="H300" s="268">
        <v>62.91</v>
      </c>
      <c r="I300" s="287">
        <f>9.29+6.77</f>
        <v>16.059999999999999</v>
      </c>
      <c r="J300" s="268">
        <f t="shared" si="290"/>
        <v>20.38</v>
      </c>
      <c r="K300" s="292">
        <f>H300-I300</f>
        <v>46.85</v>
      </c>
      <c r="L300" s="268">
        <f t="shared" si="294"/>
        <v>59.44</v>
      </c>
      <c r="M300" s="268">
        <f t="shared" si="300"/>
        <v>79.819999999999993</v>
      </c>
      <c r="N300" s="268">
        <f t="shared" si="301"/>
        <v>509.5</v>
      </c>
      <c r="O300" s="268">
        <f t="shared" si="302"/>
        <v>1486</v>
      </c>
      <c r="P300" s="268">
        <f t="shared" si="303"/>
        <v>1995.5</v>
      </c>
      <c r="Q300" s="269">
        <f t="shared" si="291"/>
        <v>8.0000000000000004E-4</v>
      </c>
      <c r="R300" s="44"/>
      <c r="S300" s="49">
        <f t="shared" si="292"/>
        <v>1572.75</v>
      </c>
      <c r="T300" s="143"/>
      <c r="U300" s="143"/>
      <c r="V300" s="143"/>
      <c r="W300" s="143"/>
      <c r="X300" s="143"/>
      <c r="Y300" s="143"/>
      <c r="Z300" s="143"/>
      <c r="AA300" s="143"/>
      <c r="AB300" s="143"/>
      <c r="AC300" s="143"/>
      <c r="AD300" s="143"/>
      <c r="AE300" s="143"/>
      <c r="AF300" s="143"/>
      <c r="AG300" s="143"/>
      <c r="AH300" s="143"/>
      <c r="AI300" s="143"/>
      <c r="AJ300" s="143"/>
      <c r="AK300" s="44"/>
      <c r="AL300" s="44"/>
    </row>
    <row r="301" spans="1:38" x14ac:dyDescent="0.25">
      <c r="A301" s="55"/>
      <c r="B301" s="265" t="s">
        <v>1283</v>
      </c>
      <c r="C301" s="266" t="s">
        <v>1494</v>
      </c>
      <c r="D301" s="265" t="s">
        <v>100</v>
      </c>
      <c r="E301" s="265" t="s">
        <v>1495</v>
      </c>
      <c r="F301" s="267" t="s">
        <v>44</v>
      </c>
      <c r="G301" s="277">
        <v>1</v>
      </c>
      <c r="H301" s="268">
        <f>CPUS!L133</f>
        <v>347.34</v>
      </c>
      <c r="I301" s="287">
        <f>CPUS!H139</f>
        <v>29.25</v>
      </c>
      <c r="J301" s="268">
        <f t="shared" si="290"/>
        <v>37.11</v>
      </c>
      <c r="K301" s="292">
        <f>H301-I301</f>
        <v>318.08999999999997</v>
      </c>
      <c r="L301" s="268">
        <f t="shared" si="294"/>
        <v>403.56</v>
      </c>
      <c r="M301" s="268">
        <f t="shared" si="300"/>
        <v>440.67</v>
      </c>
      <c r="N301" s="268">
        <f t="shared" si="301"/>
        <v>37.11</v>
      </c>
      <c r="O301" s="268">
        <f t="shared" si="302"/>
        <v>403.56</v>
      </c>
      <c r="P301" s="268">
        <f t="shared" si="303"/>
        <v>440.67</v>
      </c>
      <c r="Q301" s="269">
        <f t="shared" si="291"/>
        <v>2.0000000000000001E-4</v>
      </c>
      <c r="R301" s="44"/>
      <c r="S301" s="49">
        <f t="shared" si="292"/>
        <v>347.34</v>
      </c>
      <c r="T301" s="44"/>
      <c r="U301" s="44"/>
      <c r="V301" s="44"/>
      <c r="W301" s="44"/>
      <c r="X301" s="44"/>
      <c r="Y301" s="44"/>
      <c r="Z301" s="44"/>
      <c r="AA301" s="44"/>
      <c r="AB301" s="44"/>
      <c r="AC301" s="44"/>
      <c r="AD301" s="44"/>
      <c r="AE301" s="44"/>
      <c r="AF301" s="44"/>
      <c r="AG301" s="44"/>
      <c r="AH301" s="44"/>
      <c r="AI301" s="44"/>
      <c r="AJ301" s="44"/>
      <c r="AK301" s="44"/>
      <c r="AL301" s="44"/>
    </row>
    <row r="302" spans="1:38" ht="27.6" x14ac:dyDescent="0.25">
      <c r="A302" s="55"/>
      <c r="B302" s="265" t="s">
        <v>1284</v>
      </c>
      <c r="C302" s="266" t="s">
        <v>665</v>
      </c>
      <c r="D302" s="265" t="s">
        <v>40</v>
      </c>
      <c r="E302" s="265" t="s">
        <v>666</v>
      </c>
      <c r="F302" s="267" t="s">
        <v>55</v>
      </c>
      <c r="G302" s="277">
        <v>11.5</v>
      </c>
      <c r="H302" s="268">
        <f t="shared" si="295"/>
        <v>132.78</v>
      </c>
      <c r="I302" s="287">
        <v>2.75</v>
      </c>
      <c r="J302" s="268">
        <f t="shared" si="290"/>
        <v>3.49</v>
      </c>
      <c r="K302" s="292">
        <v>130.03</v>
      </c>
      <c r="L302" s="268">
        <f t="shared" si="294"/>
        <v>164.97</v>
      </c>
      <c r="M302" s="268">
        <f t="shared" si="300"/>
        <v>168.46</v>
      </c>
      <c r="N302" s="268">
        <f t="shared" si="301"/>
        <v>40.14</v>
      </c>
      <c r="O302" s="268">
        <f t="shared" si="302"/>
        <v>1897.16</v>
      </c>
      <c r="P302" s="268">
        <f t="shared" si="303"/>
        <v>1937.3</v>
      </c>
      <c r="Q302" s="269">
        <f t="shared" si="291"/>
        <v>8.0000000000000004E-4</v>
      </c>
      <c r="R302" s="44"/>
      <c r="S302" s="49">
        <f t="shared" si="292"/>
        <v>1526.97</v>
      </c>
      <c r="T302" s="44"/>
      <c r="U302" s="44"/>
      <c r="V302" s="44"/>
      <c r="W302" s="44"/>
      <c r="X302" s="44"/>
      <c r="Y302" s="44"/>
      <c r="Z302" s="44"/>
      <c r="AA302" s="44"/>
      <c r="AB302" s="44"/>
      <c r="AC302" s="44"/>
      <c r="AD302" s="44"/>
      <c r="AE302" s="44"/>
      <c r="AF302" s="44"/>
      <c r="AG302" s="44"/>
      <c r="AH302" s="44"/>
      <c r="AI302" s="44"/>
      <c r="AJ302" s="44"/>
      <c r="AK302" s="44"/>
      <c r="AL302" s="44"/>
    </row>
    <row r="303" spans="1:38" ht="27.6" x14ac:dyDescent="0.25">
      <c r="A303" s="55"/>
      <c r="B303" s="265" t="s">
        <v>1285</v>
      </c>
      <c r="C303" s="266" t="s">
        <v>1496</v>
      </c>
      <c r="D303" s="265" t="s">
        <v>40</v>
      </c>
      <c r="E303" s="265" t="s">
        <v>1497</v>
      </c>
      <c r="F303" s="267" t="s">
        <v>44</v>
      </c>
      <c r="G303" s="277">
        <v>2</v>
      </c>
      <c r="H303" s="268">
        <f t="shared" si="295"/>
        <v>8.76</v>
      </c>
      <c r="I303" s="287">
        <v>5.0599999999999996</v>
      </c>
      <c r="J303" s="268">
        <f t="shared" si="290"/>
        <v>6.42</v>
      </c>
      <c r="K303" s="292">
        <v>3.7</v>
      </c>
      <c r="L303" s="268">
        <f t="shared" si="294"/>
        <v>4.6900000000000004</v>
      </c>
      <c r="M303" s="268">
        <f t="shared" si="300"/>
        <v>11.11</v>
      </c>
      <c r="N303" s="268">
        <f t="shared" si="301"/>
        <v>12.84</v>
      </c>
      <c r="O303" s="268">
        <f t="shared" si="302"/>
        <v>9.3800000000000008</v>
      </c>
      <c r="P303" s="268">
        <f t="shared" si="303"/>
        <v>22.22</v>
      </c>
      <c r="Q303" s="269">
        <f t="shared" si="291"/>
        <v>0</v>
      </c>
      <c r="R303" s="44"/>
      <c r="S303" s="49">
        <f t="shared" si="292"/>
        <v>17.52</v>
      </c>
      <c r="T303" s="44"/>
      <c r="U303" s="44"/>
      <c r="V303" s="44"/>
      <c r="W303" s="44"/>
      <c r="X303" s="44"/>
      <c r="Y303" s="44"/>
      <c r="Z303" s="44"/>
      <c r="AA303" s="44"/>
      <c r="AB303" s="44"/>
      <c r="AC303" s="44"/>
      <c r="AD303" s="44"/>
      <c r="AE303" s="44"/>
      <c r="AF303" s="44"/>
      <c r="AG303" s="44"/>
      <c r="AH303" s="44"/>
      <c r="AI303" s="44"/>
      <c r="AJ303" s="44"/>
      <c r="AK303" s="44"/>
      <c r="AL303" s="44"/>
    </row>
    <row r="304" spans="1:38" ht="27.6" x14ac:dyDescent="0.25">
      <c r="A304" s="55"/>
      <c r="B304" s="265" t="s">
        <v>1286</v>
      </c>
      <c r="C304" s="266" t="s">
        <v>175</v>
      </c>
      <c r="D304" s="265" t="s">
        <v>40</v>
      </c>
      <c r="E304" s="265" t="s">
        <v>176</v>
      </c>
      <c r="F304" s="267" t="s">
        <v>44</v>
      </c>
      <c r="G304" s="277">
        <v>11</v>
      </c>
      <c r="H304" s="268">
        <f t="shared" si="295"/>
        <v>7.35</v>
      </c>
      <c r="I304" s="287">
        <v>4.53</v>
      </c>
      <c r="J304" s="268">
        <f t="shared" si="290"/>
        <v>5.75</v>
      </c>
      <c r="K304" s="292">
        <v>2.82</v>
      </c>
      <c r="L304" s="268">
        <f t="shared" si="294"/>
        <v>3.58</v>
      </c>
      <c r="M304" s="268">
        <f t="shared" si="300"/>
        <v>9.33</v>
      </c>
      <c r="N304" s="268">
        <f t="shared" si="301"/>
        <v>63.25</v>
      </c>
      <c r="O304" s="268">
        <f t="shared" si="302"/>
        <v>39.380000000000003</v>
      </c>
      <c r="P304" s="268">
        <f t="shared" si="303"/>
        <v>102.63</v>
      </c>
      <c r="Q304" s="269">
        <f t="shared" si="291"/>
        <v>0</v>
      </c>
      <c r="R304" s="44"/>
      <c r="S304" s="49">
        <f t="shared" si="292"/>
        <v>80.849999999999994</v>
      </c>
      <c r="T304" s="44"/>
      <c r="U304" s="44"/>
      <c r="V304" s="44"/>
      <c r="W304" s="44"/>
      <c r="X304" s="44"/>
      <c r="Y304" s="44"/>
      <c r="Z304" s="44"/>
      <c r="AA304" s="44"/>
      <c r="AB304" s="44"/>
      <c r="AC304" s="44"/>
      <c r="AD304" s="44"/>
      <c r="AE304" s="44"/>
      <c r="AF304" s="44"/>
      <c r="AG304" s="44"/>
      <c r="AH304" s="44"/>
      <c r="AI304" s="44"/>
      <c r="AJ304" s="44"/>
      <c r="AK304" s="44"/>
      <c r="AL304" s="44"/>
    </row>
    <row r="305" spans="1:38" ht="27.6" x14ac:dyDescent="0.25">
      <c r="A305" s="55"/>
      <c r="B305" s="265" t="s">
        <v>1287</v>
      </c>
      <c r="C305" s="266" t="s">
        <v>397</v>
      </c>
      <c r="D305" s="265" t="s">
        <v>40</v>
      </c>
      <c r="E305" s="265" t="s">
        <v>398</v>
      </c>
      <c r="F305" s="267" t="s">
        <v>55</v>
      </c>
      <c r="G305" s="277">
        <v>114.8</v>
      </c>
      <c r="H305" s="268">
        <f t="shared" si="295"/>
        <v>20.190000000000001</v>
      </c>
      <c r="I305" s="287">
        <v>12.65</v>
      </c>
      <c r="J305" s="268">
        <f t="shared" si="290"/>
        <v>16.05</v>
      </c>
      <c r="K305" s="292">
        <v>7.54</v>
      </c>
      <c r="L305" s="268">
        <f t="shared" si="294"/>
        <v>9.57</v>
      </c>
      <c r="M305" s="268">
        <f t="shared" si="300"/>
        <v>25.62</v>
      </c>
      <c r="N305" s="268">
        <f t="shared" si="301"/>
        <v>1842.54</v>
      </c>
      <c r="O305" s="268">
        <f t="shared" si="302"/>
        <v>1098.6400000000001</v>
      </c>
      <c r="P305" s="268">
        <f t="shared" si="303"/>
        <v>2941.18</v>
      </c>
      <c r="Q305" s="269">
        <f t="shared" si="291"/>
        <v>1.1999999999999999E-3</v>
      </c>
      <c r="R305" s="44"/>
      <c r="S305" s="49">
        <f t="shared" si="292"/>
        <v>2317.81</v>
      </c>
      <c r="T305" s="44"/>
      <c r="U305" s="44"/>
      <c r="V305" s="44"/>
      <c r="W305" s="44"/>
      <c r="X305" s="44"/>
      <c r="Y305" s="44"/>
      <c r="Z305" s="44"/>
      <c r="AA305" s="44"/>
      <c r="AB305" s="44"/>
      <c r="AC305" s="44"/>
      <c r="AD305" s="44"/>
      <c r="AE305" s="44"/>
      <c r="AF305" s="44"/>
      <c r="AG305" s="44"/>
      <c r="AH305" s="44"/>
      <c r="AI305" s="44"/>
      <c r="AJ305" s="44"/>
      <c r="AK305" s="44"/>
      <c r="AL305" s="44"/>
    </row>
    <row r="306" spans="1:38" ht="27.6" x14ac:dyDescent="0.25">
      <c r="A306" s="55"/>
      <c r="B306" s="265" t="s">
        <v>1288</v>
      </c>
      <c r="C306" s="266" t="s">
        <v>196</v>
      </c>
      <c r="D306" s="265" t="s">
        <v>40</v>
      </c>
      <c r="E306" s="265" t="s">
        <v>197</v>
      </c>
      <c r="F306" s="267" t="s">
        <v>44</v>
      </c>
      <c r="G306" s="277">
        <v>11</v>
      </c>
      <c r="H306" s="268">
        <f t="shared" si="295"/>
        <v>8.69</v>
      </c>
      <c r="I306" s="287">
        <v>4.91</v>
      </c>
      <c r="J306" s="268">
        <f t="shared" si="290"/>
        <v>6.23</v>
      </c>
      <c r="K306" s="292">
        <v>3.78</v>
      </c>
      <c r="L306" s="268">
        <f t="shared" si="294"/>
        <v>4.8</v>
      </c>
      <c r="M306" s="268">
        <f t="shared" si="300"/>
        <v>11.03</v>
      </c>
      <c r="N306" s="268">
        <f t="shared" si="301"/>
        <v>68.53</v>
      </c>
      <c r="O306" s="268">
        <f t="shared" si="302"/>
        <v>52.8</v>
      </c>
      <c r="P306" s="268">
        <f t="shared" si="303"/>
        <v>121.33</v>
      </c>
      <c r="Q306" s="269">
        <f t="shared" si="291"/>
        <v>0</v>
      </c>
      <c r="R306" s="44"/>
      <c r="S306" s="49">
        <f t="shared" si="292"/>
        <v>95.59</v>
      </c>
      <c r="T306" s="44"/>
      <c r="U306" s="44"/>
      <c r="V306" s="44"/>
      <c r="W306" s="44"/>
      <c r="X306" s="44"/>
      <c r="Y306" s="44"/>
      <c r="Z306" s="44"/>
      <c r="AA306" s="44"/>
      <c r="AB306" s="44"/>
      <c r="AC306" s="44"/>
      <c r="AD306" s="44"/>
      <c r="AE306" s="44"/>
      <c r="AF306" s="44"/>
      <c r="AG306" s="44"/>
      <c r="AH306" s="44"/>
      <c r="AI306" s="44"/>
      <c r="AJ306" s="44"/>
      <c r="AK306" s="44"/>
      <c r="AL306" s="44"/>
    </row>
    <row r="307" spans="1:38" ht="27.6" x14ac:dyDescent="0.25">
      <c r="A307" s="55"/>
      <c r="B307" s="265" t="s">
        <v>1289</v>
      </c>
      <c r="C307" s="266" t="s">
        <v>647</v>
      </c>
      <c r="D307" s="265" t="s">
        <v>40</v>
      </c>
      <c r="E307" s="265" t="s">
        <v>648</v>
      </c>
      <c r="F307" s="267" t="s">
        <v>44</v>
      </c>
      <c r="G307" s="277">
        <v>1</v>
      </c>
      <c r="H307" s="268">
        <f t="shared" si="295"/>
        <v>14.87</v>
      </c>
      <c r="I307" s="287">
        <v>4.5599999999999996</v>
      </c>
      <c r="J307" s="268">
        <f t="shared" si="290"/>
        <v>5.79</v>
      </c>
      <c r="K307" s="292">
        <v>10.31</v>
      </c>
      <c r="L307" s="268">
        <f t="shared" si="294"/>
        <v>13.08</v>
      </c>
      <c r="M307" s="268">
        <f t="shared" si="300"/>
        <v>18.87</v>
      </c>
      <c r="N307" s="268">
        <f t="shared" si="301"/>
        <v>5.79</v>
      </c>
      <c r="O307" s="268">
        <f t="shared" si="302"/>
        <v>13.08</v>
      </c>
      <c r="P307" s="268">
        <f t="shared" si="303"/>
        <v>18.87</v>
      </c>
      <c r="Q307" s="269">
        <f t="shared" si="291"/>
        <v>0</v>
      </c>
      <c r="R307" s="44"/>
      <c r="S307" s="49">
        <f t="shared" si="292"/>
        <v>14.87</v>
      </c>
      <c r="T307" s="44"/>
      <c r="U307" s="44"/>
      <c r="V307" s="44"/>
      <c r="W307" s="44"/>
      <c r="X307" s="44"/>
      <c r="Y307" s="44"/>
      <c r="Z307" s="44"/>
      <c r="AA307" s="44"/>
      <c r="AB307" s="44"/>
      <c r="AC307" s="44"/>
      <c r="AD307" s="44"/>
      <c r="AE307" s="44"/>
      <c r="AF307" s="44"/>
      <c r="AG307" s="44"/>
      <c r="AH307" s="44"/>
      <c r="AI307" s="44"/>
      <c r="AJ307" s="44"/>
      <c r="AK307" s="44"/>
      <c r="AL307" s="44"/>
    </row>
    <row r="308" spans="1:38" ht="27.6" x14ac:dyDescent="0.25">
      <c r="A308" s="55"/>
      <c r="B308" s="265" t="s">
        <v>1290</v>
      </c>
      <c r="C308" s="266" t="s">
        <v>191</v>
      </c>
      <c r="D308" s="265" t="s">
        <v>40</v>
      </c>
      <c r="E308" s="265" t="s">
        <v>192</v>
      </c>
      <c r="F308" s="267" t="s">
        <v>44</v>
      </c>
      <c r="G308" s="277">
        <v>59</v>
      </c>
      <c r="H308" s="268">
        <f t="shared" si="295"/>
        <v>14.21</v>
      </c>
      <c r="I308" s="287">
        <v>4.5599999999999996</v>
      </c>
      <c r="J308" s="268">
        <f t="shared" si="290"/>
        <v>5.79</v>
      </c>
      <c r="K308" s="292">
        <v>9.65</v>
      </c>
      <c r="L308" s="268">
        <f t="shared" si="294"/>
        <v>12.24</v>
      </c>
      <c r="M308" s="268">
        <f t="shared" si="300"/>
        <v>18.03</v>
      </c>
      <c r="N308" s="268">
        <f t="shared" si="301"/>
        <v>341.61</v>
      </c>
      <c r="O308" s="268">
        <f t="shared" si="302"/>
        <v>722.16</v>
      </c>
      <c r="P308" s="268">
        <f t="shared" si="303"/>
        <v>1063.77</v>
      </c>
      <c r="Q308" s="269">
        <f t="shared" si="291"/>
        <v>4.0000000000000002E-4</v>
      </c>
      <c r="R308" s="44"/>
      <c r="S308" s="49">
        <f t="shared" si="292"/>
        <v>838.39</v>
      </c>
      <c r="T308" s="44"/>
      <c r="U308" s="44"/>
      <c r="V308" s="44"/>
      <c r="W308" s="44"/>
      <c r="X308" s="44"/>
      <c r="Y308" s="44"/>
      <c r="Z308" s="44"/>
      <c r="AA308" s="44"/>
      <c r="AB308" s="44"/>
      <c r="AC308" s="44"/>
      <c r="AD308" s="44"/>
      <c r="AE308" s="44"/>
      <c r="AF308" s="44"/>
      <c r="AG308" s="44"/>
      <c r="AH308" s="44"/>
      <c r="AI308" s="44"/>
      <c r="AJ308" s="44"/>
      <c r="AK308" s="44"/>
      <c r="AL308" s="44"/>
    </row>
    <row r="309" spans="1:38" ht="27.6" x14ac:dyDescent="0.25">
      <c r="A309" s="55"/>
      <c r="B309" s="265" t="s">
        <v>1291</v>
      </c>
      <c r="C309" s="266" t="s">
        <v>661</v>
      </c>
      <c r="D309" s="265" t="s">
        <v>199</v>
      </c>
      <c r="E309" s="265" t="s">
        <v>770</v>
      </c>
      <c r="F309" s="267" t="s">
        <v>240</v>
      </c>
      <c r="G309" s="277">
        <v>117</v>
      </c>
      <c r="H309" s="268">
        <v>40.130000000000003</v>
      </c>
      <c r="I309" s="287">
        <f>9.29+13.54</f>
        <v>22.83</v>
      </c>
      <c r="J309" s="268">
        <f t="shared" si="290"/>
        <v>28.96</v>
      </c>
      <c r="K309" s="292">
        <f>H309-I309</f>
        <v>17.3</v>
      </c>
      <c r="L309" s="268">
        <f t="shared" si="294"/>
        <v>21.95</v>
      </c>
      <c r="M309" s="268">
        <f t="shared" si="300"/>
        <v>50.91</v>
      </c>
      <c r="N309" s="268">
        <f t="shared" si="301"/>
        <v>3388.32</v>
      </c>
      <c r="O309" s="268">
        <f t="shared" si="302"/>
        <v>2568.15</v>
      </c>
      <c r="P309" s="268">
        <f t="shared" si="303"/>
        <v>5956.47</v>
      </c>
      <c r="Q309" s="269">
        <f t="shared" si="291"/>
        <v>2.3999999999999998E-3</v>
      </c>
      <c r="R309" s="44"/>
      <c r="S309" s="49">
        <f t="shared" si="292"/>
        <v>4695.21</v>
      </c>
      <c r="T309" s="44"/>
      <c r="U309" s="44"/>
      <c r="V309" s="44"/>
      <c r="W309" s="44"/>
      <c r="X309" s="44"/>
      <c r="Y309" s="44"/>
      <c r="Z309" s="44"/>
      <c r="AA309" s="44"/>
      <c r="AB309" s="44"/>
      <c r="AC309" s="44"/>
      <c r="AD309" s="44"/>
      <c r="AE309" s="44"/>
      <c r="AF309" s="44"/>
      <c r="AG309" s="44"/>
      <c r="AH309" s="44"/>
      <c r="AI309" s="44"/>
      <c r="AJ309" s="44"/>
      <c r="AK309" s="44"/>
      <c r="AL309" s="44"/>
    </row>
    <row r="310" spans="1:38" ht="27.6" x14ac:dyDescent="0.25">
      <c r="A310" s="55"/>
      <c r="B310" s="265" t="s">
        <v>1292</v>
      </c>
      <c r="C310" s="266" t="s">
        <v>193</v>
      </c>
      <c r="D310" s="265" t="s">
        <v>40</v>
      </c>
      <c r="E310" s="265" t="s">
        <v>194</v>
      </c>
      <c r="F310" s="267" t="s">
        <v>44</v>
      </c>
      <c r="G310" s="277">
        <v>25</v>
      </c>
      <c r="H310" s="268">
        <f t="shared" si="295"/>
        <v>17.260000000000002</v>
      </c>
      <c r="I310" s="287">
        <v>1.49</v>
      </c>
      <c r="J310" s="268">
        <f t="shared" si="290"/>
        <v>1.89</v>
      </c>
      <c r="K310" s="292">
        <v>15.77</v>
      </c>
      <c r="L310" s="268">
        <f t="shared" si="294"/>
        <v>20.010000000000002</v>
      </c>
      <c r="M310" s="268">
        <f t="shared" si="300"/>
        <v>21.9</v>
      </c>
      <c r="N310" s="268">
        <f t="shared" si="301"/>
        <v>47.25</v>
      </c>
      <c r="O310" s="268">
        <f t="shared" si="302"/>
        <v>500.25</v>
      </c>
      <c r="P310" s="268">
        <f t="shared" si="303"/>
        <v>547.5</v>
      </c>
      <c r="Q310" s="269">
        <f t="shared" si="291"/>
        <v>2.0000000000000001E-4</v>
      </c>
      <c r="R310" s="44"/>
      <c r="S310" s="49">
        <f t="shared" si="292"/>
        <v>431.5</v>
      </c>
      <c r="T310" s="44"/>
      <c r="U310" s="44"/>
      <c r="V310" s="44"/>
      <c r="W310" s="44"/>
      <c r="X310" s="44"/>
      <c r="Y310" s="44"/>
      <c r="Z310" s="44"/>
      <c r="AA310" s="44"/>
      <c r="AB310" s="44"/>
      <c r="AC310" s="44"/>
      <c r="AD310" s="44"/>
      <c r="AE310" s="44"/>
      <c r="AF310" s="44"/>
      <c r="AG310" s="44"/>
      <c r="AH310" s="44"/>
      <c r="AI310" s="44"/>
      <c r="AJ310" s="44"/>
      <c r="AK310" s="44"/>
      <c r="AL310" s="44"/>
    </row>
    <row r="311" spans="1:38" x14ac:dyDescent="0.25">
      <c r="A311" s="55"/>
      <c r="B311" s="261" t="s">
        <v>1293</v>
      </c>
      <c r="C311" s="261"/>
      <c r="D311" s="261"/>
      <c r="E311" s="261" t="s">
        <v>667</v>
      </c>
      <c r="F311" s="261"/>
      <c r="G311" s="276"/>
      <c r="H311" s="262"/>
      <c r="I311" s="286"/>
      <c r="J311" s="261"/>
      <c r="K311" s="291"/>
      <c r="L311" s="261"/>
      <c r="M311" s="261"/>
      <c r="N311" s="261"/>
      <c r="O311" s="261"/>
      <c r="P311" s="263"/>
      <c r="Q311" s="263"/>
      <c r="R311" s="44"/>
      <c r="S311" s="49">
        <f t="shared" si="292"/>
        <v>0</v>
      </c>
      <c r="T311" s="44"/>
      <c r="U311" s="44"/>
      <c r="V311" s="44"/>
      <c r="W311" s="44"/>
      <c r="X311" s="44"/>
      <c r="Y311" s="44"/>
      <c r="Z311" s="44"/>
      <c r="AA311" s="44"/>
      <c r="AB311" s="44"/>
      <c r="AC311" s="44"/>
      <c r="AD311" s="44"/>
      <c r="AE311" s="44"/>
      <c r="AF311" s="44"/>
      <c r="AG311" s="44"/>
      <c r="AH311" s="44"/>
      <c r="AI311" s="44"/>
      <c r="AJ311" s="44"/>
      <c r="AK311" s="44"/>
      <c r="AL311" s="44"/>
    </row>
    <row r="312" spans="1:38" x14ac:dyDescent="0.25">
      <c r="A312" s="55"/>
      <c r="B312" s="265" t="s">
        <v>1294</v>
      </c>
      <c r="C312" s="266" t="s">
        <v>203</v>
      </c>
      <c r="D312" s="265" t="s">
        <v>146</v>
      </c>
      <c r="E312" s="265" t="s">
        <v>204</v>
      </c>
      <c r="F312" s="267" t="s">
        <v>168</v>
      </c>
      <c r="G312" s="277">
        <v>5</v>
      </c>
      <c r="H312" s="268">
        <v>17.91</v>
      </c>
      <c r="I312" s="287">
        <f>0.78+2.73</f>
        <v>3.51</v>
      </c>
      <c r="J312" s="268">
        <f t="shared" si="290"/>
        <v>4.45</v>
      </c>
      <c r="K312" s="292">
        <f>H312-I312</f>
        <v>14.4</v>
      </c>
      <c r="L312" s="268">
        <f t="shared" si="294"/>
        <v>18.27</v>
      </c>
      <c r="M312" s="268">
        <f t="shared" ref="M312" si="304">L312+J312</f>
        <v>22.72</v>
      </c>
      <c r="N312" s="268">
        <f t="shared" ref="N312" si="305">J312*G312</f>
        <v>22.25</v>
      </c>
      <c r="O312" s="268">
        <f t="shared" ref="O312" si="306">L312*G312</f>
        <v>91.35</v>
      </c>
      <c r="P312" s="268">
        <f t="shared" ref="P312" si="307">O312+N312</f>
        <v>113.6</v>
      </c>
      <c r="Q312" s="269">
        <f t="shared" si="291"/>
        <v>0</v>
      </c>
      <c r="R312" s="44"/>
      <c r="S312" s="49">
        <f t="shared" si="292"/>
        <v>89.55</v>
      </c>
      <c r="T312" s="44"/>
      <c r="U312" s="44"/>
      <c r="V312" s="44"/>
      <c r="W312" s="44"/>
      <c r="X312" s="44"/>
      <c r="Y312" s="44"/>
      <c r="Z312" s="44"/>
      <c r="AA312" s="44"/>
      <c r="AB312" s="44"/>
      <c r="AC312" s="44"/>
      <c r="AD312" s="44"/>
      <c r="AE312" s="44"/>
      <c r="AF312" s="44"/>
      <c r="AG312" s="44"/>
      <c r="AH312" s="44"/>
      <c r="AI312" s="44"/>
      <c r="AJ312" s="44"/>
      <c r="AK312" s="44"/>
      <c r="AL312" s="44"/>
    </row>
    <row r="313" spans="1:38" ht="27.6" x14ac:dyDescent="0.25">
      <c r="A313" s="55"/>
      <c r="B313" s="265" t="s">
        <v>1295</v>
      </c>
      <c r="C313" s="266" t="s">
        <v>201</v>
      </c>
      <c r="D313" s="265" t="s">
        <v>40</v>
      </c>
      <c r="E313" s="265" t="s">
        <v>202</v>
      </c>
      <c r="F313" s="267" t="s">
        <v>44</v>
      </c>
      <c r="G313" s="277">
        <v>10</v>
      </c>
      <c r="H313" s="268">
        <f t="shared" si="295"/>
        <v>348.75</v>
      </c>
      <c r="I313" s="287">
        <v>15.15</v>
      </c>
      <c r="J313" s="268">
        <f t="shared" si="290"/>
        <v>19.22</v>
      </c>
      <c r="K313" s="292">
        <v>333.6</v>
      </c>
      <c r="L313" s="268">
        <f t="shared" si="294"/>
        <v>423.24</v>
      </c>
      <c r="M313" s="268">
        <f t="shared" ref="M313:M323" si="308">L313+J313</f>
        <v>442.46</v>
      </c>
      <c r="N313" s="268">
        <f t="shared" ref="N313:N323" si="309">J313*G313</f>
        <v>192.2</v>
      </c>
      <c r="O313" s="268">
        <f t="shared" ref="O313:O323" si="310">L313*G313</f>
        <v>4232.3999999999996</v>
      </c>
      <c r="P313" s="268">
        <f t="shared" ref="P313:P323" si="311">O313+N313</f>
        <v>4424.6000000000004</v>
      </c>
      <c r="Q313" s="269">
        <f t="shared" si="291"/>
        <v>1.6999999999999999E-3</v>
      </c>
      <c r="R313" s="44"/>
      <c r="S313" s="49">
        <f t="shared" si="292"/>
        <v>3487.5</v>
      </c>
      <c r="T313" s="44"/>
      <c r="U313" s="44"/>
      <c r="V313" s="44"/>
      <c r="W313" s="44"/>
      <c r="X313" s="44"/>
      <c r="Y313" s="44"/>
      <c r="Z313" s="44"/>
      <c r="AA313" s="44"/>
      <c r="AB313" s="44"/>
      <c r="AC313" s="44"/>
      <c r="AD313" s="44"/>
      <c r="AE313" s="44"/>
      <c r="AF313" s="44"/>
      <c r="AG313" s="44"/>
      <c r="AH313" s="44"/>
      <c r="AI313" s="44"/>
      <c r="AJ313" s="44"/>
      <c r="AK313" s="44"/>
      <c r="AL313" s="44"/>
    </row>
    <row r="314" spans="1:38" x14ac:dyDescent="0.25">
      <c r="A314" s="55"/>
      <c r="B314" s="265" t="s">
        <v>1296</v>
      </c>
      <c r="C314" s="266" t="s">
        <v>668</v>
      </c>
      <c r="D314" s="265" t="s">
        <v>146</v>
      </c>
      <c r="E314" s="265" t="s">
        <v>669</v>
      </c>
      <c r="F314" s="267" t="s">
        <v>168</v>
      </c>
      <c r="G314" s="277">
        <v>10</v>
      </c>
      <c r="H314" s="268">
        <v>16.55</v>
      </c>
      <c r="I314" s="287">
        <f>0.78+2.73</f>
        <v>3.51</v>
      </c>
      <c r="J314" s="268">
        <f t="shared" si="290"/>
        <v>4.45</v>
      </c>
      <c r="K314" s="292">
        <f>H314-I314</f>
        <v>13.04</v>
      </c>
      <c r="L314" s="268">
        <f t="shared" si="294"/>
        <v>16.54</v>
      </c>
      <c r="M314" s="268">
        <f t="shared" si="308"/>
        <v>20.99</v>
      </c>
      <c r="N314" s="268">
        <f t="shared" si="309"/>
        <v>44.5</v>
      </c>
      <c r="O314" s="268">
        <f t="shared" si="310"/>
        <v>165.4</v>
      </c>
      <c r="P314" s="268">
        <f t="shared" si="311"/>
        <v>209.9</v>
      </c>
      <c r="Q314" s="269">
        <f t="shared" si="291"/>
        <v>1E-4</v>
      </c>
      <c r="R314" s="44"/>
      <c r="S314" s="49">
        <f t="shared" si="292"/>
        <v>165.5</v>
      </c>
      <c r="T314" s="44"/>
      <c r="U314" s="44"/>
      <c r="V314" s="44"/>
      <c r="W314" s="44"/>
      <c r="X314" s="44"/>
      <c r="Y314" s="44"/>
      <c r="Z314" s="44"/>
      <c r="AA314" s="44"/>
      <c r="AB314" s="44"/>
      <c r="AC314" s="44"/>
      <c r="AD314" s="44"/>
      <c r="AE314" s="44"/>
      <c r="AF314" s="44"/>
      <c r="AG314" s="44"/>
      <c r="AH314" s="44"/>
      <c r="AI314" s="44"/>
      <c r="AJ314" s="44"/>
      <c r="AK314" s="44"/>
      <c r="AL314" s="44"/>
    </row>
    <row r="315" spans="1:38" x14ac:dyDescent="0.25">
      <c r="A315" s="55"/>
      <c r="B315" s="265" t="s">
        <v>1297</v>
      </c>
      <c r="C315" s="266" t="s">
        <v>670</v>
      </c>
      <c r="D315" s="265" t="s">
        <v>199</v>
      </c>
      <c r="E315" s="265" t="s">
        <v>771</v>
      </c>
      <c r="F315" s="267" t="s">
        <v>168</v>
      </c>
      <c r="G315" s="277">
        <v>1</v>
      </c>
      <c r="H315" s="268">
        <v>219.23</v>
      </c>
      <c r="I315" s="287">
        <f>3.39</f>
        <v>3.39</v>
      </c>
      <c r="J315" s="268">
        <f t="shared" si="290"/>
        <v>4.3</v>
      </c>
      <c r="K315" s="292">
        <f>H315-I315</f>
        <v>215.84</v>
      </c>
      <c r="L315" s="268">
        <f t="shared" si="294"/>
        <v>273.83999999999997</v>
      </c>
      <c r="M315" s="268">
        <f t="shared" si="308"/>
        <v>278.14</v>
      </c>
      <c r="N315" s="268">
        <f t="shared" si="309"/>
        <v>4.3</v>
      </c>
      <c r="O315" s="268">
        <f t="shared" si="310"/>
        <v>273.83999999999997</v>
      </c>
      <c r="P315" s="268">
        <f t="shared" si="311"/>
        <v>278.14</v>
      </c>
      <c r="Q315" s="269">
        <f t="shared" si="291"/>
        <v>1E-4</v>
      </c>
      <c r="R315" s="44"/>
      <c r="S315" s="49">
        <f t="shared" si="292"/>
        <v>219.23</v>
      </c>
      <c r="T315" s="44"/>
      <c r="U315" s="44"/>
      <c r="V315" s="44"/>
      <c r="W315" s="44"/>
      <c r="X315" s="44"/>
      <c r="Y315" s="44"/>
      <c r="Z315" s="44"/>
      <c r="AA315" s="44"/>
      <c r="AB315" s="44"/>
      <c r="AC315" s="44"/>
      <c r="AD315" s="44"/>
      <c r="AE315" s="44"/>
      <c r="AF315" s="44"/>
      <c r="AG315" s="44"/>
      <c r="AH315" s="44"/>
      <c r="AI315" s="44"/>
      <c r="AJ315" s="44"/>
      <c r="AK315" s="44"/>
      <c r="AL315" s="44"/>
    </row>
    <row r="316" spans="1:38" ht="27.6" x14ac:dyDescent="0.25">
      <c r="A316" s="55"/>
      <c r="B316" s="265" t="s">
        <v>1298</v>
      </c>
      <c r="C316" s="266" t="s">
        <v>671</v>
      </c>
      <c r="D316" s="265" t="s">
        <v>146</v>
      </c>
      <c r="E316" s="265" t="s">
        <v>672</v>
      </c>
      <c r="F316" s="267" t="s">
        <v>200</v>
      </c>
      <c r="G316" s="277">
        <v>6</v>
      </c>
      <c r="H316" s="268">
        <v>18.64</v>
      </c>
      <c r="I316" s="287">
        <v>0</v>
      </c>
      <c r="J316" s="268">
        <f t="shared" si="290"/>
        <v>0</v>
      </c>
      <c r="K316" s="292">
        <f>H316</f>
        <v>18.64</v>
      </c>
      <c r="L316" s="268">
        <f t="shared" si="294"/>
        <v>23.65</v>
      </c>
      <c r="M316" s="268">
        <f t="shared" si="308"/>
        <v>23.65</v>
      </c>
      <c r="N316" s="268">
        <f t="shared" si="309"/>
        <v>0</v>
      </c>
      <c r="O316" s="268">
        <f t="shared" si="310"/>
        <v>141.9</v>
      </c>
      <c r="P316" s="268">
        <f t="shared" si="311"/>
        <v>141.9</v>
      </c>
      <c r="Q316" s="269">
        <f t="shared" si="291"/>
        <v>1E-4</v>
      </c>
      <c r="R316" s="44"/>
      <c r="S316" s="49">
        <f t="shared" si="292"/>
        <v>111.84</v>
      </c>
      <c r="T316" s="44"/>
      <c r="U316" s="44"/>
      <c r="V316" s="44"/>
      <c r="W316" s="44"/>
      <c r="X316" s="44"/>
      <c r="Y316" s="44"/>
      <c r="Z316" s="44"/>
      <c r="AA316" s="44"/>
      <c r="AB316" s="44"/>
      <c r="AC316" s="44"/>
      <c r="AD316" s="44"/>
      <c r="AE316" s="44"/>
      <c r="AF316" s="44"/>
      <c r="AG316" s="44"/>
      <c r="AH316" s="44"/>
      <c r="AI316" s="44"/>
      <c r="AJ316" s="44"/>
      <c r="AK316" s="44"/>
      <c r="AL316" s="44"/>
    </row>
    <row r="317" spans="1:38" x14ac:dyDescent="0.25">
      <c r="A317" s="55"/>
      <c r="B317" s="265" t="s">
        <v>1299</v>
      </c>
      <c r="C317" s="266" t="s">
        <v>198</v>
      </c>
      <c r="D317" s="265" t="s">
        <v>199</v>
      </c>
      <c r="E317" s="265" t="s">
        <v>772</v>
      </c>
      <c r="F317" s="267" t="s">
        <v>168</v>
      </c>
      <c r="G317" s="277">
        <v>2</v>
      </c>
      <c r="H317" s="268">
        <v>14.6</v>
      </c>
      <c r="I317" s="287">
        <f>3.71+2.26</f>
        <v>5.97</v>
      </c>
      <c r="J317" s="268">
        <f t="shared" si="290"/>
        <v>7.57</v>
      </c>
      <c r="K317" s="292">
        <f t="shared" ref="K317:K323" si="312">H317-I317</f>
        <v>8.6300000000000008</v>
      </c>
      <c r="L317" s="268">
        <f t="shared" si="294"/>
        <v>10.95</v>
      </c>
      <c r="M317" s="268">
        <f t="shared" si="308"/>
        <v>18.52</v>
      </c>
      <c r="N317" s="268">
        <f t="shared" si="309"/>
        <v>15.14</v>
      </c>
      <c r="O317" s="268">
        <f t="shared" si="310"/>
        <v>21.9</v>
      </c>
      <c r="P317" s="268">
        <f t="shared" si="311"/>
        <v>37.04</v>
      </c>
      <c r="Q317" s="269">
        <f t="shared" si="291"/>
        <v>0</v>
      </c>
      <c r="R317" s="44"/>
      <c r="S317" s="49">
        <f t="shared" si="292"/>
        <v>29.2</v>
      </c>
      <c r="T317" s="44"/>
      <c r="U317" s="44"/>
      <c r="V317" s="44"/>
      <c r="W317" s="44"/>
      <c r="X317" s="44"/>
      <c r="Y317" s="44"/>
      <c r="Z317" s="44"/>
      <c r="AA317" s="44"/>
      <c r="AB317" s="44"/>
      <c r="AC317" s="44"/>
      <c r="AD317" s="44"/>
      <c r="AE317" s="44"/>
      <c r="AF317" s="44"/>
      <c r="AG317" s="44"/>
      <c r="AH317" s="44"/>
      <c r="AI317" s="44"/>
      <c r="AJ317" s="44"/>
      <c r="AK317" s="44"/>
      <c r="AL317" s="44"/>
    </row>
    <row r="318" spans="1:38" ht="27.6" x14ac:dyDescent="0.25">
      <c r="A318" s="55"/>
      <c r="B318" s="265" t="s">
        <v>1300</v>
      </c>
      <c r="C318" s="266" t="s">
        <v>857</v>
      </c>
      <c r="D318" s="265" t="s">
        <v>146</v>
      </c>
      <c r="E318" s="265" t="s">
        <v>858</v>
      </c>
      <c r="F318" s="267" t="s">
        <v>168</v>
      </c>
      <c r="G318" s="277">
        <v>39</v>
      </c>
      <c r="H318" s="268">
        <v>23.69</v>
      </c>
      <c r="I318" s="287">
        <f>0.78+2.73</f>
        <v>3.51</v>
      </c>
      <c r="J318" s="268">
        <f t="shared" si="290"/>
        <v>4.45</v>
      </c>
      <c r="K318" s="292">
        <f t="shared" si="312"/>
        <v>20.18</v>
      </c>
      <c r="L318" s="268">
        <f t="shared" si="294"/>
        <v>25.6</v>
      </c>
      <c r="M318" s="268">
        <f t="shared" si="308"/>
        <v>30.05</v>
      </c>
      <c r="N318" s="268">
        <f t="shared" si="309"/>
        <v>173.55</v>
      </c>
      <c r="O318" s="268">
        <f t="shared" si="310"/>
        <v>998.4</v>
      </c>
      <c r="P318" s="268">
        <f t="shared" si="311"/>
        <v>1171.95</v>
      </c>
      <c r="Q318" s="269">
        <f t="shared" si="291"/>
        <v>5.0000000000000001E-4</v>
      </c>
      <c r="R318" s="44"/>
      <c r="S318" s="49">
        <f t="shared" si="292"/>
        <v>923.91</v>
      </c>
      <c r="T318" s="44"/>
      <c r="U318" s="44"/>
      <c r="V318" s="44"/>
      <c r="W318" s="44"/>
      <c r="X318" s="44"/>
      <c r="Y318" s="44"/>
      <c r="Z318" s="44"/>
      <c r="AA318" s="44"/>
      <c r="AB318" s="44"/>
      <c r="AC318" s="44"/>
      <c r="AD318" s="44"/>
      <c r="AE318" s="44"/>
      <c r="AF318" s="44"/>
      <c r="AG318" s="44"/>
      <c r="AH318" s="44"/>
      <c r="AI318" s="44"/>
      <c r="AJ318" s="44"/>
      <c r="AK318" s="44"/>
      <c r="AL318" s="44"/>
    </row>
    <row r="319" spans="1:38" x14ac:dyDescent="0.25">
      <c r="A319" s="55"/>
      <c r="B319" s="265" t="s">
        <v>1301</v>
      </c>
      <c r="C319" s="266" t="s">
        <v>1498</v>
      </c>
      <c r="D319" s="265" t="s">
        <v>51</v>
      </c>
      <c r="E319" s="265" t="s">
        <v>1499</v>
      </c>
      <c r="F319" s="267" t="s">
        <v>44</v>
      </c>
      <c r="G319" s="277">
        <v>33</v>
      </c>
      <c r="H319" s="268">
        <v>27.9</v>
      </c>
      <c r="I319" s="287">
        <v>4</v>
      </c>
      <c r="J319" s="268">
        <f t="shared" si="290"/>
        <v>5.07</v>
      </c>
      <c r="K319" s="292">
        <f t="shared" si="312"/>
        <v>23.9</v>
      </c>
      <c r="L319" s="268">
        <f t="shared" si="294"/>
        <v>30.32</v>
      </c>
      <c r="M319" s="268">
        <f t="shared" si="308"/>
        <v>35.39</v>
      </c>
      <c r="N319" s="268">
        <f t="shared" si="309"/>
        <v>167.31</v>
      </c>
      <c r="O319" s="268">
        <f t="shared" si="310"/>
        <v>1000.56</v>
      </c>
      <c r="P319" s="268">
        <f t="shared" si="311"/>
        <v>1167.8699999999999</v>
      </c>
      <c r="Q319" s="269">
        <f t="shared" si="291"/>
        <v>5.0000000000000001E-4</v>
      </c>
      <c r="R319" s="44"/>
      <c r="S319" s="49">
        <f t="shared" si="292"/>
        <v>920.7</v>
      </c>
      <c r="T319" s="44"/>
      <c r="U319" s="44"/>
      <c r="V319" s="44"/>
      <c r="W319" s="44"/>
      <c r="X319" s="44"/>
      <c r="Y319" s="44"/>
      <c r="Z319" s="44"/>
      <c r="AA319" s="44"/>
      <c r="AB319" s="44"/>
      <c r="AC319" s="44"/>
      <c r="AD319" s="44"/>
      <c r="AE319" s="44"/>
      <c r="AF319" s="44"/>
      <c r="AG319" s="44"/>
      <c r="AH319" s="44"/>
      <c r="AI319" s="44"/>
      <c r="AJ319" s="44"/>
      <c r="AK319" s="44"/>
      <c r="AL319" s="44"/>
    </row>
    <row r="320" spans="1:38" ht="27.6" x14ac:dyDescent="0.25">
      <c r="A320" s="55"/>
      <c r="B320" s="265" t="s">
        <v>1302</v>
      </c>
      <c r="C320" s="266" t="s">
        <v>725</v>
      </c>
      <c r="D320" s="265" t="s">
        <v>199</v>
      </c>
      <c r="E320" s="265" t="s">
        <v>774</v>
      </c>
      <c r="F320" s="267" t="s">
        <v>168</v>
      </c>
      <c r="G320" s="277">
        <v>1</v>
      </c>
      <c r="H320" s="268">
        <v>236.86</v>
      </c>
      <c r="I320" s="287">
        <f>3.71+10.83</f>
        <v>14.54</v>
      </c>
      <c r="J320" s="268">
        <f t="shared" si="290"/>
        <v>18.45</v>
      </c>
      <c r="K320" s="292">
        <f t="shared" si="312"/>
        <v>222.32</v>
      </c>
      <c r="L320" s="268">
        <f t="shared" si="294"/>
        <v>282.06</v>
      </c>
      <c r="M320" s="268">
        <f t="shared" si="308"/>
        <v>300.51</v>
      </c>
      <c r="N320" s="268">
        <f t="shared" si="309"/>
        <v>18.45</v>
      </c>
      <c r="O320" s="268">
        <f t="shared" si="310"/>
        <v>282.06</v>
      </c>
      <c r="P320" s="268">
        <f t="shared" si="311"/>
        <v>300.51</v>
      </c>
      <c r="Q320" s="269">
        <f t="shared" si="291"/>
        <v>1E-4</v>
      </c>
      <c r="R320" s="44"/>
      <c r="S320" s="49">
        <f t="shared" si="292"/>
        <v>236.86</v>
      </c>
      <c r="T320" s="44"/>
      <c r="U320" s="44"/>
      <c r="V320" s="44"/>
      <c r="W320" s="44"/>
      <c r="X320" s="44"/>
      <c r="Y320" s="44"/>
      <c r="Z320" s="44"/>
      <c r="AA320" s="44"/>
      <c r="AB320" s="44"/>
      <c r="AC320" s="44"/>
      <c r="AD320" s="44"/>
      <c r="AE320" s="44"/>
      <c r="AF320" s="44"/>
      <c r="AG320" s="44"/>
      <c r="AH320" s="44"/>
      <c r="AI320" s="44"/>
      <c r="AJ320" s="44"/>
      <c r="AK320" s="44"/>
      <c r="AL320" s="44"/>
    </row>
    <row r="321" spans="1:38" x14ac:dyDescent="0.25">
      <c r="A321" s="55"/>
      <c r="B321" s="265" t="s">
        <v>1303</v>
      </c>
      <c r="C321" s="266" t="s">
        <v>859</v>
      </c>
      <c r="D321" s="265" t="s">
        <v>146</v>
      </c>
      <c r="E321" s="265" t="s">
        <v>860</v>
      </c>
      <c r="F321" s="267" t="s">
        <v>168</v>
      </c>
      <c r="G321" s="277">
        <v>5</v>
      </c>
      <c r="H321" s="268">
        <v>353.44</v>
      </c>
      <c r="I321" s="287">
        <f>3.8+3.9+19.13+13.65</f>
        <v>40.479999999999997</v>
      </c>
      <c r="J321" s="268">
        <f t="shared" si="290"/>
        <v>51.36</v>
      </c>
      <c r="K321" s="292">
        <f t="shared" si="312"/>
        <v>312.95999999999998</v>
      </c>
      <c r="L321" s="268">
        <f t="shared" si="294"/>
        <v>397.05</v>
      </c>
      <c r="M321" s="268">
        <f t="shared" si="308"/>
        <v>448.41</v>
      </c>
      <c r="N321" s="268">
        <f t="shared" si="309"/>
        <v>256.8</v>
      </c>
      <c r="O321" s="268">
        <f t="shared" si="310"/>
        <v>1985.25</v>
      </c>
      <c r="P321" s="268">
        <f t="shared" si="311"/>
        <v>2242.0500000000002</v>
      </c>
      <c r="Q321" s="269">
        <f t="shared" si="291"/>
        <v>8.9999999999999998E-4</v>
      </c>
      <c r="R321" s="44"/>
      <c r="S321" s="49">
        <f t="shared" si="292"/>
        <v>1767.2</v>
      </c>
      <c r="T321" s="44"/>
      <c r="U321" s="44"/>
      <c r="V321" s="44"/>
      <c r="W321" s="44"/>
      <c r="X321" s="44"/>
      <c r="Y321" s="44"/>
      <c r="Z321" s="44"/>
      <c r="AA321" s="44"/>
      <c r="AB321" s="44"/>
      <c r="AC321" s="44"/>
      <c r="AD321" s="44"/>
      <c r="AE321" s="44"/>
      <c r="AF321" s="44"/>
      <c r="AG321" s="44"/>
      <c r="AH321" s="44"/>
      <c r="AI321" s="44"/>
      <c r="AJ321" s="44"/>
      <c r="AK321" s="44"/>
      <c r="AL321" s="44"/>
    </row>
    <row r="322" spans="1:38" ht="27.6" x14ac:dyDescent="0.25">
      <c r="A322" s="55"/>
      <c r="B322" s="265" t="s">
        <v>1304</v>
      </c>
      <c r="C322" s="266" t="s">
        <v>861</v>
      </c>
      <c r="D322" s="265" t="s">
        <v>584</v>
      </c>
      <c r="E322" s="265" t="s">
        <v>1500</v>
      </c>
      <c r="F322" s="267" t="s">
        <v>585</v>
      </c>
      <c r="G322" s="277">
        <v>2</v>
      </c>
      <c r="H322" s="268">
        <v>26.9</v>
      </c>
      <c r="I322" s="287">
        <v>13.32</v>
      </c>
      <c r="J322" s="268">
        <f t="shared" si="290"/>
        <v>16.899999999999999</v>
      </c>
      <c r="K322" s="292">
        <f t="shared" si="312"/>
        <v>13.58</v>
      </c>
      <c r="L322" s="268">
        <f t="shared" si="294"/>
        <v>17.23</v>
      </c>
      <c r="M322" s="268">
        <f t="shared" si="308"/>
        <v>34.130000000000003</v>
      </c>
      <c r="N322" s="268">
        <f t="shared" si="309"/>
        <v>33.799999999999997</v>
      </c>
      <c r="O322" s="268">
        <f t="shared" si="310"/>
        <v>34.46</v>
      </c>
      <c r="P322" s="268">
        <f t="shared" si="311"/>
        <v>68.260000000000005</v>
      </c>
      <c r="Q322" s="269">
        <f t="shared" si="291"/>
        <v>0</v>
      </c>
      <c r="R322" s="44"/>
      <c r="S322" s="49">
        <f t="shared" si="292"/>
        <v>53.8</v>
      </c>
      <c r="T322" s="44"/>
      <c r="U322" s="44"/>
      <c r="V322" s="44"/>
      <c r="W322" s="44"/>
      <c r="X322" s="44"/>
      <c r="Y322" s="44"/>
      <c r="Z322" s="44"/>
      <c r="AA322" s="44"/>
      <c r="AB322" s="44"/>
      <c r="AC322" s="44"/>
      <c r="AD322" s="44"/>
      <c r="AE322" s="44"/>
      <c r="AF322" s="44"/>
      <c r="AG322" s="44"/>
      <c r="AH322" s="44"/>
      <c r="AI322" s="44"/>
      <c r="AJ322" s="44"/>
      <c r="AK322" s="44"/>
      <c r="AL322" s="44"/>
    </row>
    <row r="323" spans="1:38" ht="41.4" x14ac:dyDescent="0.25">
      <c r="A323" s="55"/>
      <c r="B323" s="265" t="s">
        <v>1501</v>
      </c>
      <c r="C323" s="266" t="s">
        <v>862</v>
      </c>
      <c r="D323" s="265" t="s">
        <v>551</v>
      </c>
      <c r="E323" s="265" t="s">
        <v>1120</v>
      </c>
      <c r="F323" s="267" t="s">
        <v>44</v>
      </c>
      <c r="G323" s="277">
        <v>1</v>
      </c>
      <c r="H323" s="268">
        <v>11.93</v>
      </c>
      <c r="I323" s="287">
        <v>5.75</v>
      </c>
      <c r="J323" s="268">
        <f t="shared" si="290"/>
        <v>7.3</v>
      </c>
      <c r="K323" s="292">
        <f t="shared" si="312"/>
        <v>6.18</v>
      </c>
      <c r="L323" s="268">
        <f t="shared" si="294"/>
        <v>7.84</v>
      </c>
      <c r="M323" s="268">
        <f t="shared" si="308"/>
        <v>15.14</v>
      </c>
      <c r="N323" s="268">
        <f t="shared" si="309"/>
        <v>7.3</v>
      </c>
      <c r="O323" s="268">
        <f t="shared" si="310"/>
        <v>7.84</v>
      </c>
      <c r="P323" s="268">
        <f t="shared" si="311"/>
        <v>15.14</v>
      </c>
      <c r="Q323" s="269">
        <f t="shared" si="291"/>
        <v>0</v>
      </c>
      <c r="R323" s="44"/>
      <c r="S323" s="49">
        <f t="shared" si="292"/>
        <v>11.93</v>
      </c>
      <c r="T323" s="44"/>
      <c r="U323" s="44"/>
      <c r="V323" s="44"/>
      <c r="W323" s="44"/>
      <c r="X323" s="44"/>
      <c r="Y323" s="44"/>
      <c r="Z323" s="44"/>
      <c r="AA323" s="44"/>
      <c r="AB323" s="44"/>
      <c r="AC323" s="44"/>
      <c r="AD323" s="44"/>
      <c r="AE323" s="44"/>
      <c r="AF323" s="44"/>
      <c r="AG323" s="44"/>
      <c r="AH323" s="44"/>
      <c r="AI323" s="44"/>
      <c r="AJ323" s="44"/>
      <c r="AK323" s="44"/>
      <c r="AL323" s="44"/>
    </row>
    <row r="324" spans="1:38" x14ac:dyDescent="0.25">
      <c r="A324" s="55"/>
      <c r="B324" s="261">
        <v>16</v>
      </c>
      <c r="C324" s="261"/>
      <c r="D324" s="261"/>
      <c r="E324" s="261" t="s">
        <v>673</v>
      </c>
      <c r="F324" s="261"/>
      <c r="G324" s="276"/>
      <c r="H324" s="262"/>
      <c r="I324" s="286"/>
      <c r="J324" s="261"/>
      <c r="K324" s="291"/>
      <c r="L324" s="261"/>
      <c r="M324" s="261"/>
      <c r="N324" s="261"/>
      <c r="O324" s="261"/>
      <c r="P324" s="263"/>
      <c r="Q324" s="263"/>
      <c r="R324" s="44"/>
      <c r="S324" s="49">
        <f t="shared" si="292"/>
        <v>0</v>
      </c>
      <c r="T324" s="44"/>
      <c r="U324" s="44"/>
      <c r="V324" s="44"/>
      <c r="W324" s="44"/>
      <c r="X324" s="44"/>
      <c r="Y324" s="44"/>
      <c r="Z324" s="44"/>
      <c r="AA324" s="44"/>
      <c r="AB324" s="44"/>
      <c r="AC324" s="44"/>
      <c r="AD324" s="44"/>
      <c r="AE324" s="44"/>
      <c r="AF324" s="44"/>
      <c r="AG324" s="44"/>
      <c r="AH324" s="44"/>
      <c r="AI324" s="44"/>
      <c r="AJ324" s="44"/>
      <c r="AK324" s="44"/>
      <c r="AL324" s="44"/>
    </row>
    <row r="325" spans="1:38" x14ac:dyDescent="0.25">
      <c r="A325" s="55"/>
      <c r="B325" s="261" t="s">
        <v>271</v>
      </c>
      <c r="C325" s="261"/>
      <c r="D325" s="261"/>
      <c r="E325" s="261" t="s">
        <v>674</v>
      </c>
      <c r="F325" s="261"/>
      <c r="G325" s="276"/>
      <c r="H325" s="262"/>
      <c r="I325" s="286"/>
      <c r="J325" s="261"/>
      <c r="K325" s="291"/>
      <c r="L325" s="261"/>
      <c r="M325" s="261"/>
      <c r="N325" s="261"/>
      <c r="O325" s="261"/>
      <c r="P325" s="263"/>
      <c r="Q325" s="263"/>
      <c r="R325" s="44"/>
      <c r="S325" s="49">
        <f t="shared" si="292"/>
        <v>0</v>
      </c>
      <c r="T325" s="44"/>
      <c r="U325" s="44"/>
      <c r="V325" s="44"/>
      <c r="W325" s="44"/>
      <c r="X325" s="44"/>
      <c r="Y325" s="44"/>
      <c r="Z325" s="44"/>
      <c r="AA325" s="44"/>
      <c r="AB325" s="44"/>
      <c r="AC325" s="44"/>
      <c r="AD325" s="44"/>
      <c r="AE325" s="44"/>
      <c r="AF325" s="44"/>
      <c r="AG325" s="44"/>
      <c r="AH325" s="44"/>
      <c r="AI325" s="44"/>
      <c r="AJ325" s="44"/>
      <c r="AK325" s="44"/>
      <c r="AL325" s="44"/>
    </row>
    <row r="326" spans="1:38" x14ac:dyDescent="0.25">
      <c r="A326" s="55"/>
      <c r="B326" s="265" t="s">
        <v>843</v>
      </c>
      <c r="C326" s="266" t="s">
        <v>1121</v>
      </c>
      <c r="D326" s="265" t="s">
        <v>146</v>
      </c>
      <c r="E326" s="265" t="s">
        <v>1122</v>
      </c>
      <c r="F326" s="267" t="s">
        <v>168</v>
      </c>
      <c r="G326" s="277">
        <v>1</v>
      </c>
      <c r="H326" s="268">
        <v>1.99</v>
      </c>
      <c r="I326" s="287">
        <f>0.04+0.04+0.19+0.14</f>
        <v>0.41</v>
      </c>
      <c r="J326" s="268">
        <f t="shared" si="290"/>
        <v>0.52</v>
      </c>
      <c r="K326" s="292">
        <f>H326-I326</f>
        <v>1.58</v>
      </c>
      <c r="L326" s="268">
        <f t="shared" ref="L326:L389" si="313">K326*(1+$M$9)</f>
        <v>2</v>
      </c>
      <c r="M326" s="268">
        <f t="shared" ref="M326" si="314">L326+J326</f>
        <v>2.52</v>
      </c>
      <c r="N326" s="268">
        <f t="shared" ref="N326" si="315">J326*G326</f>
        <v>0.52</v>
      </c>
      <c r="O326" s="268">
        <f t="shared" ref="O326" si="316">L326*G326</f>
        <v>2</v>
      </c>
      <c r="P326" s="268">
        <f t="shared" ref="P326" si="317">O326+N326</f>
        <v>2.52</v>
      </c>
      <c r="Q326" s="269">
        <f t="shared" si="291"/>
        <v>0</v>
      </c>
      <c r="R326" s="44"/>
      <c r="S326" s="49">
        <f t="shared" si="292"/>
        <v>1.99</v>
      </c>
      <c r="T326" s="44"/>
      <c r="U326" s="44"/>
      <c r="V326" s="44"/>
      <c r="W326" s="44"/>
      <c r="X326" s="44"/>
      <c r="Y326" s="44"/>
      <c r="Z326" s="44"/>
      <c r="AA326" s="44"/>
      <c r="AB326" s="44"/>
      <c r="AC326" s="44"/>
      <c r="AD326" s="44"/>
      <c r="AE326" s="44"/>
      <c r="AF326" s="44"/>
      <c r="AG326" s="44"/>
      <c r="AH326" s="44"/>
      <c r="AI326" s="44"/>
      <c r="AJ326" s="44"/>
      <c r="AK326" s="44"/>
      <c r="AL326" s="44"/>
    </row>
    <row r="327" spans="1:38" ht="27.6" x14ac:dyDescent="0.25">
      <c r="A327" s="55"/>
      <c r="B327" s="265" t="s">
        <v>844</v>
      </c>
      <c r="C327" s="266" t="s">
        <v>340</v>
      </c>
      <c r="D327" s="265" t="s">
        <v>40</v>
      </c>
      <c r="E327" s="265" t="s">
        <v>341</v>
      </c>
      <c r="F327" s="267" t="s">
        <v>44</v>
      </c>
      <c r="G327" s="277">
        <v>305</v>
      </c>
      <c r="H327" s="268">
        <f t="shared" ref="H327:H382" si="318">I327+K327</f>
        <v>16.829999999999998</v>
      </c>
      <c r="I327" s="287">
        <v>10.029999999999999</v>
      </c>
      <c r="J327" s="268">
        <f t="shared" si="290"/>
        <v>12.73</v>
      </c>
      <c r="K327" s="292">
        <v>6.8</v>
      </c>
      <c r="L327" s="268">
        <f t="shared" si="313"/>
        <v>8.6300000000000008</v>
      </c>
      <c r="M327" s="268">
        <f t="shared" ref="M327:M390" si="319">L327+J327</f>
        <v>21.36</v>
      </c>
      <c r="N327" s="268">
        <f t="shared" ref="N327:N390" si="320">J327*G327</f>
        <v>3882.65</v>
      </c>
      <c r="O327" s="268">
        <f t="shared" ref="O327:O390" si="321">L327*G327</f>
        <v>2632.15</v>
      </c>
      <c r="P327" s="268">
        <f t="shared" ref="P327:P390" si="322">O327+N327</f>
        <v>6514.8</v>
      </c>
      <c r="Q327" s="269">
        <f t="shared" si="291"/>
        <v>2.5999999999999999E-3</v>
      </c>
      <c r="R327" s="44"/>
      <c r="S327" s="49">
        <f t="shared" si="292"/>
        <v>5133.1499999999996</v>
      </c>
      <c r="T327" s="44"/>
      <c r="U327" s="44"/>
      <c r="V327" s="44"/>
      <c r="W327" s="44"/>
      <c r="X327" s="44"/>
      <c r="Y327" s="44"/>
      <c r="Z327" s="44"/>
      <c r="AA327" s="44"/>
      <c r="AB327" s="44"/>
      <c r="AC327" s="44"/>
      <c r="AD327" s="44"/>
      <c r="AE327" s="44"/>
      <c r="AF327" s="44"/>
      <c r="AG327" s="44"/>
      <c r="AH327" s="44"/>
      <c r="AI327" s="44"/>
      <c r="AJ327" s="44"/>
      <c r="AK327" s="44"/>
      <c r="AL327" s="44"/>
    </row>
    <row r="328" spans="1:38" ht="27.6" x14ac:dyDescent="0.25">
      <c r="A328" s="55"/>
      <c r="B328" s="265" t="s">
        <v>1059</v>
      </c>
      <c r="C328" s="266" t="s">
        <v>1502</v>
      </c>
      <c r="D328" s="265" t="s">
        <v>40</v>
      </c>
      <c r="E328" s="265" t="s">
        <v>1503</v>
      </c>
      <c r="F328" s="267" t="s">
        <v>44</v>
      </c>
      <c r="G328" s="277">
        <v>21</v>
      </c>
      <c r="H328" s="268">
        <f t="shared" si="318"/>
        <v>20.91</v>
      </c>
      <c r="I328" s="287">
        <v>10.36</v>
      </c>
      <c r="J328" s="268">
        <f t="shared" si="290"/>
        <v>13.14</v>
      </c>
      <c r="K328" s="292">
        <v>10.55</v>
      </c>
      <c r="L328" s="268">
        <f t="shared" si="313"/>
        <v>13.38</v>
      </c>
      <c r="M328" s="268">
        <f t="shared" si="319"/>
        <v>26.52</v>
      </c>
      <c r="N328" s="268">
        <f t="shared" si="320"/>
        <v>275.94</v>
      </c>
      <c r="O328" s="268">
        <f t="shared" si="321"/>
        <v>280.98</v>
      </c>
      <c r="P328" s="268">
        <f t="shared" si="322"/>
        <v>556.91999999999996</v>
      </c>
      <c r="Q328" s="269">
        <f t="shared" si="291"/>
        <v>2.0000000000000001E-4</v>
      </c>
      <c r="R328" s="44"/>
      <c r="S328" s="49">
        <f t="shared" si="292"/>
        <v>439.11</v>
      </c>
      <c r="T328" s="44"/>
      <c r="U328" s="44"/>
      <c r="V328" s="44"/>
      <c r="W328" s="44"/>
      <c r="X328" s="44"/>
      <c r="Y328" s="44"/>
      <c r="Z328" s="44"/>
      <c r="AA328" s="44"/>
      <c r="AB328" s="44"/>
      <c r="AC328" s="44"/>
      <c r="AD328" s="44"/>
      <c r="AE328" s="44"/>
      <c r="AF328" s="44"/>
      <c r="AG328" s="44"/>
      <c r="AH328" s="44"/>
      <c r="AI328" s="44"/>
      <c r="AJ328" s="44"/>
      <c r="AK328" s="44"/>
      <c r="AL328" s="44"/>
    </row>
    <row r="329" spans="1:38" x14ac:dyDescent="0.25">
      <c r="A329" s="55"/>
      <c r="B329" s="265" t="s">
        <v>1060</v>
      </c>
      <c r="C329" s="266">
        <v>91937</v>
      </c>
      <c r="D329" s="265" t="s">
        <v>40</v>
      </c>
      <c r="E329" s="265" t="s">
        <v>207</v>
      </c>
      <c r="F329" s="267" t="s">
        <v>44</v>
      </c>
      <c r="G329" s="277">
        <v>99</v>
      </c>
      <c r="H329" s="268">
        <f t="shared" si="318"/>
        <v>15.99</v>
      </c>
      <c r="I329" s="287">
        <v>7.54</v>
      </c>
      <c r="J329" s="268">
        <f t="shared" si="290"/>
        <v>9.57</v>
      </c>
      <c r="K329" s="292">
        <v>8.4499999999999993</v>
      </c>
      <c r="L329" s="268">
        <f t="shared" si="313"/>
        <v>10.72</v>
      </c>
      <c r="M329" s="268">
        <f t="shared" si="319"/>
        <v>20.29</v>
      </c>
      <c r="N329" s="268">
        <f t="shared" si="320"/>
        <v>947.43</v>
      </c>
      <c r="O329" s="268">
        <f t="shared" si="321"/>
        <v>1061.28</v>
      </c>
      <c r="P329" s="268">
        <f t="shared" si="322"/>
        <v>2008.71</v>
      </c>
      <c r="Q329" s="269">
        <f t="shared" si="291"/>
        <v>8.0000000000000004E-4</v>
      </c>
      <c r="R329" s="44"/>
      <c r="S329" s="49">
        <f t="shared" si="292"/>
        <v>1583.01</v>
      </c>
      <c r="T329" s="44"/>
      <c r="U329" s="44"/>
      <c r="V329" s="44"/>
      <c r="W329" s="44"/>
      <c r="X329" s="44"/>
      <c r="Y329" s="44"/>
      <c r="Z329" s="44"/>
      <c r="AA329" s="44"/>
      <c r="AB329" s="44"/>
      <c r="AC329" s="44"/>
      <c r="AD329" s="44"/>
      <c r="AE329" s="44"/>
      <c r="AF329" s="44"/>
      <c r="AG329" s="44"/>
      <c r="AH329" s="44"/>
      <c r="AI329" s="44"/>
      <c r="AJ329" s="44"/>
      <c r="AK329" s="44"/>
      <c r="AL329" s="44"/>
    </row>
    <row r="330" spans="1:38" ht="27.6" x14ac:dyDescent="0.25">
      <c r="A330" s="55"/>
      <c r="B330" s="265" t="s">
        <v>1061</v>
      </c>
      <c r="C330" s="266" t="s">
        <v>675</v>
      </c>
      <c r="D330" s="265" t="s">
        <v>40</v>
      </c>
      <c r="E330" s="265" t="s">
        <v>676</v>
      </c>
      <c r="F330" s="267" t="s">
        <v>44</v>
      </c>
      <c r="G330" s="277">
        <v>6</v>
      </c>
      <c r="H330" s="268">
        <f t="shared" si="318"/>
        <v>14.69</v>
      </c>
      <c r="I330" s="287">
        <v>10.039999999999999</v>
      </c>
      <c r="J330" s="268">
        <f t="shared" si="290"/>
        <v>12.74</v>
      </c>
      <c r="K330" s="292">
        <v>4.6500000000000004</v>
      </c>
      <c r="L330" s="268">
        <f t="shared" si="313"/>
        <v>5.9</v>
      </c>
      <c r="M330" s="268">
        <f t="shared" si="319"/>
        <v>18.64</v>
      </c>
      <c r="N330" s="268">
        <f t="shared" si="320"/>
        <v>76.44</v>
      </c>
      <c r="O330" s="268">
        <f t="shared" si="321"/>
        <v>35.4</v>
      </c>
      <c r="P330" s="268">
        <f t="shared" si="322"/>
        <v>111.84</v>
      </c>
      <c r="Q330" s="269">
        <f t="shared" si="291"/>
        <v>0</v>
      </c>
      <c r="R330" s="44"/>
      <c r="S330" s="49">
        <f t="shared" si="292"/>
        <v>88.14</v>
      </c>
      <c r="T330" s="44"/>
      <c r="U330" s="44"/>
      <c r="V330" s="44"/>
      <c r="W330" s="44"/>
      <c r="X330" s="44"/>
      <c r="Y330" s="44"/>
      <c r="Z330" s="44"/>
      <c r="AA330" s="44"/>
      <c r="AB330" s="44"/>
      <c r="AC330" s="44"/>
      <c r="AD330" s="44"/>
      <c r="AE330" s="44"/>
      <c r="AF330" s="44"/>
      <c r="AG330" s="44"/>
      <c r="AH330" s="44"/>
      <c r="AI330" s="44"/>
      <c r="AJ330" s="44"/>
      <c r="AK330" s="44"/>
      <c r="AL330" s="44"/>
    </row>
    <row r="331" spans="1:38" ht="27.6" x14ac:dyDescent="0.25">
      <c r="A331" s="55"/>
      <c r="B331" s="265" t="s">
        <v>1062</v>
      </c>
      <c r="C331" s="266" t="s">
        <v>1123</v>
      </c>
      <c r="D331" s="265" t="s">
        <v>40</v>
      </c>
      <c r="E331" s="265" t="s">
        <v>1124</v>
      </c>
      <c r="F331" s="267" t="s">
        <v>44</v>
      </c>
      <c r="G331" s="277">
        <v>1</v>
      </c>
      <c r="H331" s="268">
        <f t="shared" si="318"/>
        <v>22.94</v>
      </c>
      <c r="I331" s="287">
        <v>12.4</v>
      </c>
      <c r="J331" s="268">
        <f t="shared" si="290"/>
        <v>15.73</v>
      </c>
      <c r="K331" s="292">
        <v>10.54</v>
      </c>
      <c r="L331" s="268">
        <f t="shared" si="313"/>
        <v>13.37</v>
      </c>
      <c r="M331" s="268">
        <f t="shared" si="319"/>
        <v>29.1</v>
      </c>
      <c r="N331" s="268">
        <f t="shared" si="320"/>
        <v>15.73</v>
      </c>
      <c r="O331" s="268">
        <f t="shared" si="321"/>
        <v>13.37</v>
      </c>
      <c r="P331" s="268">
        <f t="shared" si="322"/>
        <v>29.1</v>
      </c>
      <c r="Q331" s="269">
        <f t="shared" si="291"/>
        <v>0</v>
      </c>
      <c r="R331" s="44"/>
      <c r="S331" s="49">
        <f t="shared" si="292"/>
        <v>22.94</v>
      </c>
      <c r="T331" s="44"/>
      <c r="U331" s="44"/>
      <c r="V331" s="44"/>
      <c r="W331" s="44"/>
      <c r="X331" s="44"/>
      <c r="Y331" s="44"/>
      <c r="Z331" s="44"/>
      <c r="AA331" s="44"/>
      <c r="AB331" s="44"/>
      <c r="AC331" s="44"/>
      <c r="AD331" s="44"/>
      <c r="AE331" s="44"/>
      <c r="AF331" s="44"/>
      <c r="AG331" s="44"/>
      <c r="AH331" s="44"/>
      <c r="AI331" s="44"/>
      <c r="AJ331" s="44"/>
      <c r="AK331" s="44"/>
      <c r="AL331" s="44"/>
    </row>
    <row r="332" spans="1:38" x14ac:dyDescent="0.25">
      <c r="A332" s="55"/>
      <c r="B332" s="265" t="s">
        <v>1063</v>
      </c>
      <c r="C332" s="266" t="s">
        <v>677</v>
      </c>
      <c r="D332" s="265" t="s">
        <v>51</v>
      </c>
      <c r="E332" s="265" t="s">
        <v>678</v>
      </c>
      <c r="F332" s="267" t="s">
        <v>342</v>
      </c>
      <c r="G332" s="277">
        <v>407</v>
      </c>
      <c r="H332" s="268">
        <v>2.6</v>
      </c>
      <c r="I332" s="287">
        <v>1.8</v>
      </c>
      <c r="J332" s="268">
        <f t="shared" si="290"/>
        <v>2.2799999999999998</v>
      </c>
      <c r="K332" s="292">
        <f t="shared" ref="K332:K337" si="323">H332-I332</f>
        <v>0.8</v>
      </c>
      <c r="L332" s="268">
        <f t="shared" si="313"/>
        <v>1.01</v>
      </c>
      <c r="M332" s="268">
        <f t="shared" si="319"/>
        <v>3.29</v>
      </c>
      <c r="N332" s="268">
        <f t="shared" si="320"/>
        <v>927.96</v>
      </c>
      <c r="O332" s="268">
        <f t="shared" si="321"/>
        <v>411.07</v>
      </c>
      <c r="P332" s="268">
        <f t="shared" si="322"/>
        <v>1339.03</v>
      </c>
      <c r="Q332" s="269">
        <f t="shared" si="291"/>
        <v>5.0000000000000001E-4</v>
      </c>
      <c r="R332" s="44"/>
      <c r="S332" s="49">
        <f t="shared" si="292"/>
        <v>1058.2</v>
      </c>
      <c r="T332" s="44"/>
      <c r="U332" s="44"/>
      <c r="V332" s="44"/>
      <c r="W332" s="44"/>
      <c r="X332" s="44"/>
      <c r="Y332" s="44"/>
      <c r="Z332" s="44"/>
      <c r="AA332" s="44"/>
      <c r="AB332" s="44"/>
      <c r="AC332" s="44"/>
      <c r="AD332" s="44"/>
      <c r="AE332" s="44"/>
      <c r="AF332" s="44"/>
      <c r="AG332" s="44"/>
      <c r="AH332" s="44"/>
      <c r="AI332" s="44"/>
      <c r="AJ332" s="44"/>
      <c r="AK332" s="44"/>
      <c r="AL332" s="44"/>
    </row>
    <row r="333" spans="1:38" x14ac:dyDescent="0.25">
      <c r="A333" s="55"/>
      <c r="B333" s="265" t="s">
        <v>1064</v>
      </c>
      <c r="C333" s="266" t="s">
        <v>679</v>
      </c>
      <c r="D333" s="265" t="s">
        <v>51</v>
      </c>
      <c r="E333" s="265" t="s">
        <v>680</v>
      </c>
      <c r="F333" s="267" t="s">
        <v>342</v>
      </c>
      <c r="G333" s="277">
        <v>67</v>
      </c>
      <c r="H333" s="268">
        <v>4.8</v>
      </c>
      <c r="I333" s="287">
        <f>1.42+1.8</f>
        <v>3.22</v>
      </c>
      <c r="J333" s="268">
        <f t="shared" si="290"/>
        <v>4.09</v>
      </c>
      <c r="K333" s="292">
        <f t="shared" si="323"/>
        <v>1.58</v>
      </c>
      <c r="L333" s="268">
        <f t="shared" si="313"/>
        <v>2</v>
      </c>
      <c r="M333" s="268">
        <f t="shared" si="319"/>
        <v>6.09</v>
      </c>
      <c r="N333" s="268">
        <f t="shared" si="320"/>
        <v>274.02999999999997</v>
      </c>
      <c r="O333" s="268">
        <f t="shared" si="321"/>
        <v>134</v>
      </c>
      <c r="P333" s="268">
        <f t="shared" si="322"/>
        <v>408.03</v>
      </c>
      <c r="Q333" s="269">
        <f t="shared" si="291"/>
        <v>2.0000000000000001E-4</v>
      </c>
      <c r="R333" s="44"/>
      <c r="S333" s="49">
        <f t="shared" si="292"/>
        <v>321.60000000000002</v>
      </c>
      <c r="T333" s="44"/>
      <c r="U333" s="44"/>
      <c r="V333" s="44"/>
      <c r="W333" s="44"/>
      <c r="X333" s="44"/>
      <c r="Y333" s="44"/>
      <c r="Z333" s="44"/>
      <c r="AA333" s="44"/>
      <c r="AB333" s="44"/>
      <c r="AC333" s="44"/>
      <c r="AD333" s="44"/>
      <c r="AE333" s="44"/>
      <c r="AF333" s="44"/>
      <c r="AG333" s="44"/>
      <c r="AH333" s="44"/>
      <c r="AI333" s="44"/>
      <c r="AJ333" s="44"/>
      <c r="AK333" s="44"/>
      <c r="AL333" s="44"/>
    </row>
    <row r="334" spans="1:38" x14ac:dyDescent="0.25">
      <c r="A334" s="55"/>
      <c r="B334" s="265" t="s">
        <v>1065</v>
      </c>
      <c r="C334" s="266">
        <v>63120</v>
      </c>
      <c r="D334" s="265" t="s">
        <v>51</v>
      </c>
      <c r="E334" s="265" t="s">
        <v>1646</v>
      </c>
      <c r="F334" s="267" t="s">
        <v>44</v>
      </c>
      <c r="G334" s="277">
        <v>67</v>
      </c>
      <c r="H334" s="268">
        <v>8.31</v>
      </c>
      <c r="I334" s="287">
        <f>1.33+3.39</f>
        <v>4.72</v>
      </c>
      <c r="J334" s="268">
        <f t="shared" si="290"/>
        <v>5.99</v>
      </c>
      <c r="K334" s="292">
        <f t="shared" si="323"/>
        <v>3.59</v>
      </c>
      <c r="L334" s="268">
        <f t="shared" si="313"/>
        <v>4.55</v>
      </c>
      <c r="M334" s="268">
        <f t="shared" si="319"/>
        <v>10.54</v>
      </c>
      <c r="N334" s="268">
        <f t="shared" si="320"/>
        <v>401.33</v>
      </c>
      <c r="O334" s="268">
        <f t="shared" si="321"/>
        <v>304.85000000000002</v>
      </c>
      <c r="P334" s="268">
        <f t="shared" si="322"/>
        <v>706.18</v>
      </c>
      <c r="Q334" s="269">
        <f t="shared" si="291"/>
        <v>2.9999999999999997E-4</v>
      </c>
      <c r="R334" s="44"/>
      <c r="S334" s="49">
        <f t="shared" si="292"/>
        <v>556.77</v>
      </c>
      <c r="T334" s="44"/>
      <c r="U334" s="44"/>
      <c r="V334" s="44"/>
      <c r="W334" s="44"/>
      <c r="X334" s="44"/>
      <c r="Y334" s="44"/>
      <c r="Z334" s="44"/>
      <c r="AA334" s="44"/>
      <c r="AB334" s="44"/>
      <c r="AC334" s="44"/>
      <c r="AD334" s="44"/>
      <c r="AE334" s="44"/>
      <c r="AF334" s="44"/>
      <c r="AG334" s="44"/>
      <c r="AH334" s="44"/>
      <c r="AI334" s="44"/>
      <c r="AJ334" s="44"/>
      <c r="AK334" s="44"/>
      <c r="AL334" s="44"/>
    </row>
    <row r="335" spans="1:38" x14ac:dyDescent="0.25">
      <c r="A335" s="55"/>
      <c r="B335" s="265" t="s">
        <v>1066</v>
      </c>
      <c r="C335" s="266" t="s">
        <v>682</v>
      </c>
      <c r="D335" s="265" t="s">
        <v>51</v>
      </c>
      <c r="E335" s="265" t="s">
        <v>683</v>
      </c>
      <c r="F335" s="267" t="s">
        <v>44</v>
      </c>
      <c r="G335" s="277">
        <v>192</v>
      </c>
      <c r="H335" s="268">
        <v>1.33</v>
      </c>
      <c r="I335" s="287">
        <f>0.18+0.23</f>
        <v>0.41</v>
      </c>
      <c r="J335" s="268">
        <f t="shared" si="290"/>
        <v>0.52</v>
      </c>
      <c r="K335" s="292">
        <f t="shared" si="323"/>
        <v>0.92</v>
      </c>
      <c r="L335" s="268">
        <f t="shared" si="313"/>
        <v>1.17</v>
      </c>
      <c r="M335" s="268">
        <f t="shared" si="319"/>
        <v>1.69</v>
      </c>
      <c r="N335" s="268">
        <f t="shared" si="320"/>
        <v>99.84</v>
      </c>
      <c r="O335" s="268">
        <f t="shared" si="321"/>
        <v>224.64</v>
      </c>
      <c r="P335" s="268">
        <f t="shared" si="322"/>
        <v>324.48</v>
      </c>
      <c r="Q335" s="269">
        <f t="shared" si="291"/>
        <v>1E-4</v>
      </c>
      <c r="R335" s="44"/>
      <c r="S335" s="49">
        <f t="shared" si="292"/>
        <v>255.36</v>
      </c>
      <c r="T335" s="44"/>
      <c r="U335" s="44"/>
      <c r="V335" s="44"/>
      <c r="W335" s="44"/>
      <c r="X335" s="44"/>
      <c r="Y335" s="44"/>
      <c r="Z335" s="44"/>
      <c r="AA335" s="44"/>
      <c r="AB335" s="44"/>
      <c r="AC335" s="44"/>
      <c r="AD335" s="44"/>
      <c r="AE335" s="44"/>
      <c r="AF335" s="44"/>
      <c r="AG335" s="44"/>
      <c r="AH335" s="44"/>
      <c r="AI335" s="44"/>
      <c r="AJ335" s="44"/>
      <c r="AK335" s="44"/>
      <c r="AL335" s="44"/>
    </row>
    <row r="336" spans="1:38" x14ac:dyDescent="0.25">
      <c r="A336" s="55"/>
      <c r="B336" s="265" t="s">
        <v>1067</v>
      </c>
      <c r="C336" s="266" t="s">
        <v>684</v>
      </c>
      <c r="D336" s="265" t="s">
        <v>51</v>
      </c>
      <c r="E336" s="265" t="s">
        <v>685</v>
      </c>
      <c r="F336" s="267" t="s">
        <v>44</v>
      </c>
      <c r="G336" s="277">
        <v>67</v>
      </c>
      <c r="H336" s="268">
        <v>4.96</v>
      </c>
      <c r="I336" s="287">
        <f>0.26+0.33</f>
        <v>0.59</v>
      </c>
      <c r="J336" s="268">
        <f t="shared" si="290"/>
        <v>0.75</v>
      </c>
      <c r="K336" s="292">
        <f t="shared" si="323"/>
        <v>4.37</v>
      </c>
      <c r="L336" s="268">
        <f t="shared" si="313"/>
        <v>5.54</v>
      </c>
      <c r="M336" s="268">
        <f t="shared" si="319"/>
        <v>6.29</v>
      </c>
      <c r="N336" s="268">
        <f t="shared" si="320"/>
        <v>50.25</v>
      </c>
      <c r="O336" s="268">
        <f t="shared" si="321"/>
        <v>371.18</v>
      </c>
      <c r="P336" s="268">
        <f t="shared" si="322"/>
        <v>421.43</v>
      </c>
      <c r="Q336" s="269">
        <f t="shared" si="291"/>
        <v>2.0000000000000001E-4</v>
      </c>
      <c r="R336" s="44"/>
      <c r="S336" s="49">
        <f t="shared" si="292"/>
        <v>332.32</v>
      </c>
      <c r="T336" s="44"/>
      <c r="U336" s="44"/>
      <c r="V336" s="44"/>
      <c r="W336" s="44"/>
      <c r="X336" s="44"/>
      <c r="Y336" s="44"/>
      <c r="Z336" s="44"/>
      <c r="AA336" s="44"/>
      <c r="AB336" s="44"/>
      <c r="AC336" s="44"/>
      <c r="AD336" s="44"/>
      <c r="AE336" s="44"/>
      <c r="AF336" s="44"/>
      <c r="AG336" s="44"/>
      <c r="AH336" s="44"/>
      <c r="AI336" s="44"/>
      <c r="AJ336" s="44"/>
      <c r="AK336" s="44"/>
      <c r="AL336" s="44"/>
    </row>
    <row r="337" spans="1:38" x14ac:dyDescent="0.25">
      <c r="A337" s="55"/>
      <c r="B337" s="265" t="s">
        <v>1068</v>
      </c>
      <c r="C337" s="266" t="s">
        <v>686</v>
      </c>
      <c r="D337" s="265" t="s">
        <v>51</v>
      </c>
      <c r="E337" s="265" t="s">
        <v>687</v>
      </c>
      <c r="F337" s="267" t="s">
        <v>55</v>
      </c>
      <c r="G337" s="277">
        <v>67</v>
      </c>
      <c r="H337" s="268">
        <v>12.56</v>
      </c>
      <c r="I337" s="287">
        <f>4+5</f>
        <v>9</v>
      </c>
      <c r="J337" s="268">
        <f t="shared" si="290"/>
        <v>11.42</v>
      </c>
      <c r="K337" s="292">
        <f t="shared" si="323"/>
        <v>3.56</v>
      </c>
      <c r="L337" s="268">
        <f t="shared" si="313"/>
        <v>4.5199999999999996</v>
      </c>
      <c r="M337" s="268">
        <f t="shared" si="319"/>
        <v>15.94</v>
      </c>
      <c r="N337" s="268">
        <f t="shared" si="320"/>
        <v>765.14</v>
      </c>
      <c r="O337" s="268">
        <f t="shared" si="321"/>
        <v>302.83999999999997</v>
      </c>
      <c r="P337" s="268">
        <f t="shared" si="322"/>
        <v>1067.98</v>
      </c>
      <c r="Q337" s="269">
        <f t="shared" si="291"/>
        <v>4.0000000000000002E-4</v>
      </c>
      <c r="R337" s="44"/>
      <c r="S337" s="49">
        <f t="shared" si="292"/>
        <v>841.52</v>
      </c>
      <c r="T337" s="44"/>
      <c r="U337" s="44"/>
      <c r="V337" s="44"/>
      <c r="W337" s="44"/>
      <c r="X337" s="44"/>
      <c r="Y337" s="44"/>
      <c r="Z337" s="44"/>
      <c r="AA337" s="44"/>
      <c r="AB337" s="44"/>
      <c r="AC337" s="44"/>
      <c r="AD337" s="44"/>
      <c r="AE337" s="44"/>
      <c r="AF337" s="44"/>
      <c r="AG337" s="44"/>
      <c r="AH337" s="44"/>
      <c r="AI337" s="44"/>
      <c r="AJ337" s="44"/>
      <c r="AK337" s="44"/>
      <c r="AL337" s="44"/>
    </row>
    <row r="338" spans="1:38" ht="27.6" x14ac:dyDescent="0.25">
      <c r="A338" s="55"/>
      <c r="B338" s="265" t="s">
        <v>1069</v>
      </c>
      <c r="C338" s="266" t="s">
        <v>872</v>
      </c>
      <c r="D338" s="265" t="s">
        <v>40</v>
      </c>
      <c r="E338" s="265" t="s">
        <v>873</v>
      </c>
      <c r="F338" s="267" t="s">
        <v>55</v>
      </c>
      <c r="G338" s="277">
        <v>158.19999999999999</v>
      </c>
      <c r="H338" s="268">
        <f t="shared" si="318"/>
        <v>57.18</v>
      </c>
      <c r="I338" s="287">
        <v>2.8</v>
      </c>
      <c r="J338" s="268">
        <f t="shared" si="290"/>
        <v>3.55</v>
      </c>
      <c r="K338" s="292">
        <v>54.38</v>
      </c>
      <c r="L338" s="268">
        <f t="shared" si="313"/>
        <v>68.989999999999995</v>
      </c>
      <c r="M338" s="268">
        <f t="shared" si="319"/>
        <v>72.540000000000006</v>
      </c>
      <c r="N338" s="268">
        <f t="shared" si="320"/>
        <v>561.61</v>
      </c>
      <c r="O338" s="268">
        <f t="shared" si="321"/>
        <v>10914.22</v>
      </c>
      <c r="P338" s="268">
        <f t="shared" si="322"/>
        <v>11475.83</v>
      </c>
      <c r="Q338" s="269">
        <f t="shared" si="291"/>
        <v>4.4999999999999997E-3</v>
      </c>
      <c r="R338" s="44"/>
      <c r="S338" s="49">
        <f t="shared" si="292"/>
        <v>9045.8799999999992</v>
      </c>
      <c r="T338" s="44"/>
      <c r="U338" s="44"/>
      <c r="V338" s="44"/>
      <c r="W338" s="44"/>
      <c r="X338" s="44"/>
      <c r="Y338" s="44"/>
      <c r="Z338" s="44"/>
      <c r="AA338" s="44"/>
      <c r="AB338" s="44"/>
      <c r="AC338" s="44"/>
      <c r="AD338" s="44"/>
      <c r="AE338" s="44"/>
      <c r="AF338" s="44"/>
      <c r="AG338" s="44"/>
      <c r="AH338" s="44"/>
      <c r="AI338" s="44"/>
      <c r="AJ338" s="44"/>
      <c r="AK338" s="44"/>
      <c r="AL338" s="44"/>
    </row>
    <row r="339" spans="1:38" ht="27.6" x14ac:dyDescent="0.25">
      <c r="A339" s="55"/>
      <c r="B339" s="265" t="s">
        <v>1070</v>
      </c>
      <c r="C339" s="266" t="s">
        <v>1504</v>
      </c>
      <c r="D339" s="265" t="s">
        <v>40</v>
      </c>
      <c r="E339" s="265" t="s">
        <v>1505</v>
      </c>
      <c r="F339" s="267" t="s">
        <v>55</v>
      </c>
      <c r="G339" s="277">
        <v>88</v>
      </c>
      <c r="H339" s="268">
        <f t="shared" si="318"/>
        <v>102.6</v>
      </c>
      <c r="I339" s="287">
        <v>4.1500000000000004</v>
      </c>
      <c r="J339" s="268">
        <f t="shared" si="290"/>
        <v>5.27</v>
      </c>
      <c r="K339" s="292">
        <v>98.45</v>
      </c>
      <c r="L339" s="268">
        <f t="shared" si="313"/>
        <v>124.9</v>
      </c>
      <c r="M339" s="268">
        <f t="shared" si="319"/>
        <v>130.16999999999999</v>
      </c>
      <c r="N339" s="268">
        <f t="shared" si="320"/>
        <v>463.76</v>
      </c>
      <c r="O339" s="268">
        <f t="shared" si="321"/>
        <v>10991.2</v>
      </c>
      <c r="P339" s="268">
        <f t="shared" si="322"/>
        <v>11454.96</v>
      </c>
      <c r="Q339" s="269">
        <f t="shared" si="291"/>
        <v>4.4999999999999997E-3</v>
      </c>
      <c r="R339" s="44"/>
      <c r="S339" s="49">
        <f t="shared" si="292"/>
        <v>9028.7999999999993</v>
      </c>
      <c r="T339" s="44"/>
      <c r="U339" s="44"/>
      <c r="V339" s="44"/>
      <c r="W339" s="44"/>
      <c r="X339" s="44"/>
      <c r="Y339" s="44"/>
      <c r="Z339" s="44"/>
      <c r="AA339" s="44"/>
      <c r="AB339" s="44"/>
      <c r="AC339" s="44"/>
      <c r="AD339" s="44"/>
      <c r="AE339" s="44"/>
      <c r="AF339" s="44"/>
      <c r="AG339" s="44"/>
      <c r="AH339" s="44"/>
      <c r="AI339" s="44"/>
      <c r="AJ339" s="44"/>
      <c r="AK339" s="44"/>
      <c r="AL339" s="44"/>
    </row>
    <row r="340" spans="1:38" ht="27.6" x14ac:dyDescent="0.25">
      <c r="A340" s="55"/>
      <c r="B340" s="265" t="s">
        <v>1071</v>
      </c>
      <c r="C340" s="266" t="s">
        <v>868</v>
      </c>
      <c r="D340" s="265" t="s">
        <v>40</v>
      </c>
      <c r="E340" s="265" t="s">
        <v>869</v>
      </c>
      <c r="F340" s="267" t="s">
        <v>55</v>
      </c>
      <c r="G340" s="277">
        <v>24.7</v>
      </c>
      <c r="H340" s="268">
        <f t="shared" si="318"/>
        <v>25.27</v>
      </c>
      <c r="I340" s="287">
        <v>3.85</v>
      </c>
      <c r="J340" s="268">
        <f t="shared" si="290"/>
        <v>4.88</v>
      </c>
      <c r="K340" s="292">
        <v>21.42</v>
      </c>
      <c r="L340" s="268">
        <f t="shared" si="313"/>
        <v>27.18</v>
      </c>
      <c r="M340" s="268">
        <f t="shared" si="319"/>
        <v>32.06</v>
      </c>
      <c r="N340" s="268">
        <f t="shared" si="320"/>
        <v>120.54</v>
      </c>
      <c r="O340" s="268">
        <f t="shared" si="321"/>
        <v>671.35</v>
      </c>
      <c r="P340" s="268">
        <f t="shared" si="322"/>
        <v>791.89</v>
      </c>
      <c r="Q340" s="269">
        <f t="shared" si="291"/>
        <v>2.9999999999999997E-4</v>
      </c>
      <c r="R340" s="44"/>
      <c r="S340" s="49">
        <f t="shared" si="292"/>
        <v>624.16999999999996</v>
      </c>
      <c r="T340" s="44"/>
      <c r="U340" s="44"/>
      <c r="V340" s="44"/>
      <c r="W340" s="44"/>
      <c r="X340" s="44"/>
      <c r="Y340" s="44"/>
      <c r="Z340" s="44"/>
      <c r="AA340" s="44"/>
      <c r="AB340" s="44"/>
      <c r="AC340" s="44"/>
      <c r="AD340" s="44"/>
      <c r="AE340" s="44"/>
      <c r="AF340" s="44"/>
      <c r="AG340" s="44"/>
      <c r="AH340" s="44"/>
      <c r="AI340" s="44"/>
      <c r="AJ340" s="44"/>
      <c r="AK340" s="44"/>
      <c r="AL340" s="44"/>
    </row>
    <row r="341" spans="1:38" ht="27.6" x14ac:dyDescent="0.25">
      <c r="A341" s="55"/>
      <c r="B341" s="265" t="s">
        <v>1072</v>
      </c>
      <c r="C341" s="266" t="s">
        <v>870</v>
      </c>
      <c r="D341" s="265" t="s">
        <v>40</v>
      </c>
      <c r="E341" s="265" t="s">
        <v>871</v>
      </c>
      <c r="F341" s="267" t="s">
        <v>55</v>
      </c>
      <c r="G341" s="277">
        <v>74.099999999999994</v>
      </c>
      <c r="H341" s="268">
        <f t="shared" si="318"/>
        <v>28.29</v>
      </c>
      <c r="I341" s="287">
        <v>2.0299999999999998</v>
      </c>
      <c r="J341" s="268">
        <f t="shared" ref="J341:J404" si="324">I341*(1+$M$9)</f>
        <v>2.58</v>
      </c>
      <c r="K341" s="292">
        <v>26.26</v>
      </c>
      <c r="L341" s="268">
        <f t="shared" si="313"/>
        <v>33.32</v>
      </c>
      <c r="M341" s="268">
        <f t="shared" si="319"/>
        <v>35.9</v>
      </c>
      <c r="N341" s="268">
        <f t="shared" si="320"/>
        <v>191.18</v>
      </c>
      <c r="O341" s="268">
        <f t="shared" si="321"/>
        <v>2469.0100000000002</v>
      </c>
      <c r="P341" s="268">
        <f t="shared" si="322"/>
        <v>2660.19</v>
      </c>
      <c r="Q341" s="269">
        <f t="shared" ref="Q341:Q404" si="325">P341/$O$485</f>
        <v>1.1000000000000001E-3</v>
      </c>
      <c r="R341" s="44"/>
      <c r="S341" s="49">
        <f t="shared" ref="S341:S404" si="326">G341*H341</f>
        <v>2096.29</v>
      </c>
      <c r="T341" s="44"/>
      <c r="U341" s="44"/>
      <c r="V341" s="44"/>
      <c r="W341" s="44"/>
      <c r="X341" s="44"/>
      <c r="Y341" s="44"/>
      <c r="Z341" s="44"/>
      <c r="AA341" s="44"/>
      <c r="AB341" s="44"/>
      <c r="AC341" s="44"/>
      <c r="AD341" s="44"/>
      <c r="AE341" s="44"/>
      <c r="AF341" s="44"/>
      <c r="AG341" s="44"/>
      <c r="AH341" s="44"/>
      <c r="AI341" s="44"/>
      <c r="AJ341" s="44"/>
      <c r="AK341" s="44"/>
      <c r="AL341" s="44"/>
    </row>
    <row r="342" spans="1:38" ht="27.6" x14ac:dyDescent="0.25">
      <c r="A342" s="55"/>
      <c r="B342" s="265" t="s">
        <v>1073</v>
      </c>
      <c r="C342" s="266" t="s">
        <v>1506</v>
      </c>
      <c r="D342" s="265" t="s">
        <v>40</v>
      </c>
      <c r="E342" s="265" t="s">
        <v>1507</v>
      </c>
      <c r="F342" s="267" t="s">
        <v>55</v>
      </c>
      <c r="G342" s="277">
        <v>234.8</v>
      </c>
      <c r="H342" s="268">
        <f t="shared" si="318"/>
        <v>16.690000000000001</v>
      </c>
      <c r="I342" s="287">
        <v>2.5499999999999998</v>
      </c>
      <c r="J342" s="268">
        <f t="shared" si="324"/>
        <v>3.24</v>
      </c>
      <c r="K342" s="292">
        <v>14.14</v>
      </c>
      <c r="L342" s="268">
        <f t="shared" si="313"/>
        <v>17.940000000000001</v>
      </c>
      <c r="M342" s="268">
        <f t="shared" si="319"/>
        <v>21.18</v>
      </c>
      <c r="N342" s="268">
        <f t="shared" si="320"/>
        <v>760.75</v>
      </c>
      <c r="O342" s="268">
        <f t="shared" si="321"/>
        <v>4212.3100000000004</v>
      </c>
      <c r="P342" s="268">
        <f t="shared" si="322"/>
        <v>4973.0600000000004</v>
      </c>
      <c r="Q342" s="269">
        <f t="shared" si="325"/>
        <v>2E-3</v>
      </c>
      <c r="R342" s="44"/>
      <c r="S342" s="49">
        <f t="shared" si="326"/>
        <v>3918.81</v>
      </c>
      <c r="T342" s="44"/>
      <c r="U342" s="44"/>
      <c r="V342" s="44"/>
      <c r="W342" s="44"/>
      <c r="X342" s="44"/>
      <c r="Y342" s="44"/>
      <c r="Z342" s="44"/>
      <c r="AA342" s="44"/>
      <c r="AB342" s="44"/>
      <c r="AC342" s="44"/>
      <c r="AD342" s="44"/>
      <c r="AE342" s="44"/>
      <c r="AF342" s="44"/>
      <c r="AG342" s="44"/>
      <c r="AH342" s="44"/>
      <c r="AI342" s="44"/>
      <c r="AJ342" s="44"/>
      <c r="AK342" s="44"/>
      <c r="AL342" s="44"/>
    </row>
    <row r="343" spans="1:38" ht="27.6" x14ac:dyDescent="0.25">
      <c r="A343" s="55"/>
      <c r="B343" s="265" t="s">
        <v>1074</v>
      </c>
      <c r="C343" s="266" t="s">
        <v>1508</v>
      </c>
      <c r="D343" s="265" t="s">
        <v>40</v>
      </c>
      <c r="E343" s="265" t="s">
        <v>1509</v>
      </c>
      <c r="F343" s="267" t="s">
        <v>55</v>
      </c>
      <c r="G343" s="277">
        <v>30.1</v>
      </c>
      <c r="H343" s="268">
        <f t="shared" si="318"/>
        <v>24.07</v>
      </c>
      <c r="I343" s="287">
        <v>3.85</v>
      </c>
      <c r="J343" s="268">
        <f t="shared" si="324"/>
        <v>4.88</v>
      </c>
      <c r="K343" s="292">
        <v>20.22</v>
      </c>
      <c r="L343" s="268">
        <f t="shared" si="313"/>
        <v>25.65</v>
      </c>
      <c r="M343" s="268">
        <f t="shared" si="319"/>
        <v>30.53</v>
      </c>
      <c r="N343" s="268">
        <f t="shared" si="320"/>
        <v>146.88999999999999</v>
      </c>
      <c r="O343" s="268">
        <f t="shared" si="321"/>
        <v>772.07</v>
      </c>
      <c r="P343" s="268">
        <f t="shared" si="322"/>
        <v>918.96</v>
      </c>
      <c r="Q343" s="269">
        <f t="shared" si="325"/>
        <v>4.0000000000000002E-4</v>
      </c>
      <c r="R343" s="44"/>
      <c r="S343" s="49">
        <f t="shared" si="326"/>
        <v>724.51</v>
      </c>
      <c r="T343" s="44"/>
      <c r="U343" s="44"/>
      <c r="V343" s="44"/>
      <c r="W343" s="44"/>
      <c r="X343" s="44"/>
      <c r="Y343" s="44"/>
      <c r="Z343" s="44"/>
      <c r="AA343" s="44"/>
      <c r="AB343" s="44"/>
      <c r="AC343" s="44"/>
      <c r="AD343" s="44"/>
      <c r="AE343" s="44"/>
      <c r="AF343" s="44"/>
      <c r="AG343" s="44"/>
      <c r="AH343" s="44"/>
      <c r="AI343" s="44"/>
      <c r="AJ343" s="44"/>
      <c r="AK343" s="44"/>
      <c r="AL343" s="44"/>
    </row>
    <row r="344" spans="1:38" ht="27.6" x14ac:dyDescent="0.25">
      <c r="A344" s="55"/>
      <c r="B344" s="265" t="s">
        <v>1076</v>
      </c>
      <c r="C344" s="266" t="s">
        <v>1510</v>
      </c>
      <c r="D344" s="265" t="s">
        <v>40</v>
      </c>
      <c r="E344" s="265" t="s">
        <v>1511</v>
      </c>
      <c r="F344" s="267" t="s">
        <v>55</v>
      </c>
      <c r="G344" s="277">
        <v>154.80000000000001</v>
      </c>
      <c r="H344" s="268">
        <f t="shared" si="318"/>
        <v>25.18</v>
      </c>
      <c r="I344" s="287">
        <v>0.38</v>
      </c>
      <c r="J344" s="268">
        <f t="shared" si="324"/>
        <v>0.48</v>
      </c>
      <c r="K344" s="292">
        <v>24.8</v>
      </c>
      <c r="L344" s="268">
        <f t="shared" si="313"/>
        <v>31.46</v>
      </c>
      <c r="M344" s="268">
        <f t="shared" si="319"/>
        <v>31.94</v>
      </c>
      <c r="N344" s="268">
        <f t="shared" si="320"/>
        <v>74.3</v>
      </c>
      <c r="O344" s="268">
        <f t="shared" si="321"/>
        <v>4870.01</v>
      </c>
      <c r="P344" s="268">
        <f t="shared" si="322"/>
        <v>4944.3100000000004</v>
      </c>
      <c r="Q344" s="269">
        <f t="shared" si="325"/>
        <v>2E-3</v>
      </c>
      <c r="R344" s="44"/>
      <c r="S344" s="49">
        <f t="shared" si="326"/>
        <v>3897.86</v>
      </c>
      <c r="T344" s="44"/>
      <c r="U344" s="44"/>
      <c r="V344" s="44"/>
      <c r="W344" s="44"/>
      <c r="X344" s="44"/>
      <c r="Y344" s="44"/>
      <c r="Z344" s="44"/>
      <c r="AA344" s="44"/>
      <c r="AB344" s="44"/>
      <c r="AC344" s="44"/>
      <c r="AD344" s="44"/>
      <c r="AE344" s="44"/>
      <c r="AF344" s="44"/>
      <c r="AG344" s="44"/>
      <c r="AH344" s="44"/>
      <c r="AI344" s="44"/>
      <c r="AJ344" s="44"/>
      <c r="AK344" s="44"/>
      <c r="AL344" s="44"/>
    </row>
    <row r="345" spans="1:38" ht="27.6" x14ac:dyDescent="0.25">
      <c r="A345" s="55"/>
      <c r="B345" s="265" t="s">
        <v>1077</v>
      </c>
      <c r="C345" s="266" t="s">
        <v>208</v>
      </c>
      <c r="D345" s="265" t="s">
        <v>40</v>
      </c>
      <c r="E345" s="265" t="s">
        <v>209</v>
      </c>
      <c r="F345" s="267" t="s">
        <v>55</v>
      </c>
      <c r="G345" s="277">
        <v>2895.1</v>
      </c>
      <c r="H345" s="268">
        <f t="shared" si="318"/>
        <v>2.89</v>
      </c>
      <c r="I345" s="287">
        <v>0.77</v>
      </c>
      <c r="J345" s="268">
        <f t="shared" si="324"/>
        <v>0.98</v>
      </c>
      <c r="K345" s="292">
        <v>2.12</v>
      </c>
      <c r="L345" s="268">
        <f t="shared" si="313"/>
        <v>2.69</v>
      </c>
      <c r="M345" s="268">
        <f t="shared" si="319"/>
        <v>3.67</v>
      </c>
      <c r="N345" s="268">
        <f t="shared" si="320"/>
        <v>2837.2</v>
      </c>
      <c r="O345" s="268">
        <f t="shared" si="321"/>
        <v>7787.82</v>
      </c>
      <c r="P345" s="268">
        <f t="shared" si="322"/>
        <v>10625.02</v>
      </c>
      <c r="Q345" s="269">
        <f t="shared" si="325"/>
        <v>4.1999999999999997E-3</v>
      </c>
      <c r="R345" s="44"/>
      <c r="S345" s="49">
        <f t="shared" si="326"/>
        <v>8366.84</v>
      </c>
      <c r="T345" s="44"/>
      <c r="U345" s="44"/>
      <c r="V345" s="44"/>
      <c r="W345" s="44"/>
      <c r="X345" s="44"/>
      <c r="Y345" s="44"/>
      <c r="Z345" s="44"/>
      <c r="AA345" s="44"/>
      <c r="AB345" s="44"/>
      <c r="AC345" s="44"/>
      <c r="AD345" s="44"/>
      <c r="AE345" s="44"/>
      <c r="AF345" s="44"/>
      <c r="AG345" s="44"/>
      <c r="AH345" s="44"/>
      <c r="AI345" s="44"/>
      <c r="AJ345" s="44"/>
      <c r="AK345" s="44"/>
      <c r="AL345" s="44"/>
    </row>
    <row r="346" spans="1:38" ht="27.6" x14ac:dyDescent="0.25">
      <c r="A346" s="55"/>
      <c r="B346" s="265" t="s">
        <v>1078</v>
      </c>
      <c r="C346" s="266">
        <v>91926</v>
      </c>
      <c r="D346" s="265" t="s">
        <v>40</v>
      </c>
      <c r="E346" s="265" t="s">
        <v>210</v>
      </c>
      <c r="F346" s="267" t="s">
        <v>55</v>
      </c>
      <c r="G346" s="277">
        <v>4759.3</v>
      </c>
      <c r="H346" s="268">
        <f t="shared" si="318"/>
        <v>4.24</v>
      </c>
      <c r="I346" s="287">
        <v>0.98</v>
      </c>
      <c r="J346" s="268">
        <f t="shared" si="324"/>
        <v>1.24</v>
      </c>
      <c r="K346" s="292">
        <v>3.26</v>
      </c>
      <c r="L346" s="268">
        <f t="shared" si="313"/>
        <v>4.1399999999999997</v>
      </c>
      <c r="M346" s="268">
        <f t="shared" si="319"/>
        <v>5.38</v>
      </c>
      <c r="N346" s="268">
        <f t="shared" si="320"/>
        <v>5901.53</v>
      </c>
      <c r="O346" s="268">
        <f t="shared" si="321"/>
        <v>19703.5</v>
      </c>
      <c r="P346" s="268">
        <f t="shared" si="322"/>
        <v>25605.03</v>
      </c>
      <c r="Q346" s="269">
        <f t="shared" si="325"/>
        <v>1.01E-2</v>
      </c>
      <c r="R346" s="44"/>
      <c r="S346" s="49">
        <f t="shared" si="326"/>
        <v>20179.43</v>
      </c>
      <c r="T346" s="44"/>
      <c r="U346" s="44"/>
      <c r="V346" s="44"/>
      <c r="W346" s="44"/>
      <c r="X346" s="44"/>
      <c r="Y346" s="44"/>
      <c r="Z346" s="44"/>
      <c r="AA346" s="44"/>
      <c r="AB346" s="44"/>
      <c r="AC346" s="44"/>
      <c r="AD346" s="44"/>
      <c r="AE346" s="44"/>
      <c r="AF346" s="44"/>
      <c r="AG346" s="44"/>
      <c r="AH346" s="44"/>
      <c r="AI346" s="44"/>
      <c r="AJ346" s="44"/>
      <c r="AK346" s="44"/>
      <c r="AL346" s="44"/>
    </row>
    <row r="347" spans="1:38" ht="27.6" x14ac:dyDescent="0.25">
      <c r="A347" s="55"/>
      <c r="B347" s="265" t="s">
        <v>1079</v>
      </c>
      <c r="C347" s="266" t="s">
        <v>211</v>
      </c>
      <c r="D347" s="265" t="s">
        <v>40</v>
      </c>
      <c r="E347" s="265" t="s">
        <v>212</v>
      </c>
      <c r="F347" s="267" t="s">
        <v>55</v>
      </c>
      <c r="G347" s="277">
        <v>357.8</v>
      </c>
      <c r="H347" s="268">
        <f t="shared" si="318"/>
        <v>6.59</v>
      </c>
      <c r="I347" s="287">
        <v>1.32</v>
      </c>
      <c r="J347" s="268">
        <f t="shared" si="324"/>
        <v>1.67</v>
      </c>
      <c r="K347" s="292">
        <v>5.27</v>
      </c>
      <c r="L347" s="268">
        <f t="shared" si="313"/>
        <v>6.69</v>
      </c>
      <c r="M347" s="268">
        <f t="shared" si="319"/>
        <v>8.36</v>
      </c>
      <c r="N347" s="268">
        <f t="shared" si="320"/>
        <v>597.53</v>
      </c>
      <c r="O347" s="268">
        <f t="shared" si="321"/>
        <v>2393.6799999999998</v>
      </c>
      <c r="P347" s="268">
        <f t="shared" si="322"/>
        <v>2991.21</v>
      </c>
      <c r="Q347" s="269">
        <f t="shared" si="325"/>
        <v>1.1999999999999999E-3</v>
      </c>
      <c r="R347" s="44"/>
      <c r="S347" s="49">
        <f t="shared" si="326"/>
        <v>2357.9</v>
      </c>
      <c r="T347" s="44"/>
      <c r="U347" s="44"/>
      <c r="V347" s="44"/>
      <c r="W347" s="44"/>
      <c r="X347" s="44"/>
      <c r="Y347" s="44"/>
      <c r="Z347" s="44"/>
      <c r="AA347" s="44"/>
      <c r="AB347" s="44"/>
      <c r="AC347" s="44"/>
      <c r="AD347" s="44"/>
      <c r="AE347" s="44"/>
      <c r="AF347" s="44"/>
      <c r="AG347" s="44"/>
      <c r="AH347" s="44"/>
      <c r="AI347" s="44"/>
      <c r="AJ347" s="44"/>
      <c r="AK347" s="44"/>
      <c r="AL347" s="44"/>
    </row>
    <row r="348" spans="1:38" ht="27.6" x14ac:dyDescent="0.25">
      <c r="A348" s="55"/>
      <c r="B348" s="265" t="s">
        <v>1080</v>
      </c>
      <c r="C348" s="266" t="s">
        <v>213</v>
      </c>
      <c r="D348" s="265" t="s">
        <v>40</v>
      </c>
      <c r="E348" s="265" t="s">
        <v>214</v>
      </c>
      <c r="F348" s="267" t="s">
        <v>55</v>
      </c>
      <c r="G348" s="277">
        <v>102.2</v>
      </c>
      <c r="H348" s="268">
        <f t="shared" si="318"/>
        <v>9.25</v>
      </c>
      <c r="I348" s="287">
        <v>1.72</v>
      </c>
      <c r="J348" s="268">
        <f t="shared" si="324"/>
        <v>2.1800000000000002</v>
      </c>
      <c r="K348" s="292">
        <v>7.53</v>
      </c>
      <c r="L348" s="268">
        <f t="shared" si="313"/>
        <v>9.5500000000000007</v>
      </c>
      <c r="M348" s="268">
        <f t="shared" si="319"/>
        <v>11.73</v>
      </c>
      <c r="N348" s="268">
        <f t="shared" si="320"/>
        <v>222.8</v>
      </c>
      <c r="O348" s="268">
        <f t="shared" si="321"/>
        <v>976.01</v>
      </c>
      <c r="P348" s="268">
        <f t="shared" si="322"/>
        <v>1198.81</v>
      </c>
      <c r="Q348" s="269">
        <f t="shared" si="325"/>
        <v>5.0000000000000001E-4</v>
      </c>
      <c r="R348" s="44"/>
      <c r="S348" s="49">
        <f t="shared" si="326"/>
        <v>945.35</v>
      </c>
      <c r="T348" s="44"/>
      <c r="U348" s="44"/>
      <c r="V348" s="44"/>
      <c r="W348" s="44"/>
      <c r="X348" s="44"/>
      <c r="Y348" s="44"/>
      <c r="Z348" s="44"/>
      <c r="AA348" s="44"/>
      <c r="AB348" s="44"/>
      <c r="AC348" s="44"/>
      <c r="AD348" s="44"/>
      <c r="AE348" s="44"/>
      <c r="AF348" s="44"/>
      <c r="AG348" s="44"/>
      <c r="AH348" s="44"/>
      <c r="AI348" s="44"/>
      <c r="AJ348" s="44"/>
      <c r="AK348" s="44"/>
      <c r="AL348" s="44"/>
    </row>
    <row r="349" spans="1:38" ht="27.6" x14ac:dyDescent="0.25">
      <c r="A349" s="55"/>
      <c r="B349" s="265" t="s">
        <v>1081</v>
      </c>
      <c r="C349" s="266" t="s">
        <v>337</v>
      </c>
      <c r="D349" s="265" t="s">
        <v>40</v>
      </c>
      <c r="E349" s="265" t="s">
        <v>338</v>
      </c>
      <c r="F349" s="267" t="s">
        <v>44</v>
      </c>
      <c r="G349" s="277">
        <v>4</v>
      </c>
      <c r="H349" s="268">
        <f t="shared" si="318"/>
        <v>143.88999999999999</v>
      </c>
      <c r="I349" s="287">
        <v>66.66</v>
      </c>
      <c r="J349" s="268">
        <f t="shared" si="324"/>
        <v>84.57</v>
      </c>
      <c r="K349" s="292">
        <f>0.3+76.82+0.11</f>
        <v>77.23</v>
      </c>
      <c r="L349" s="268">
        <f t="shared" si="313"/>
        <v>97.98</v>
      </c>
      <c r="M349" s="268">
        <f t="shared" si="319"/>
        <v>182.55</v>
      </c>
      <c r="N349" s="268">
        <f t="shared" si="320"/>
        <v>338.28</v>
      </c>
      <c r="O349" s="268">
        <f t="shared" si="321"/>
        <v>391.92</v>
      </c>
      <c r="P349" s="268">
        <f t="shared" si="322"/>
        <v>730.2</v>
      </c>
      <c r="Q349" s="269">
        <f t="shared" si="325"/>
        <v>2.9999999999999997E-4</v>
      </c>
      <c r="R349" s="44"/>
      <c r="S349" s="49">
        <f t="shared" si="326"/>
        <v>575.55999999999995</v>
      </c>
      <c r="T349" s="44"/>
      <c r="U349" s="44"/>
      <c r="V349" s="44"/>
      <c r="W349" s="44"/>
      <c r="X349" s="44"/>
      <c r="Y349" s="44"/>
      <c r="Z349" s="44"/>
      <c r="AA349" s="44"/>
      <c r="AB349" s="44"/>
      <c r="AC349" s="44"/>
      <c r="AD349" s="44"/>
      <c r="AE349" s="44"/>
      <c r="AF349" s="44"/>
      <c r="AG349" s="44"/>
      <c r="AH349" s="44"/>
      <c r="AI349" s="44"/>
      <c r="AJ349" s="44"/>
      <c r="AK349" s="44"/>
      <c r="AL349" s="44"/>
    </row>
    <row r="350" spans="1:38" x14ac:dyDescent="0.25">
      <c r="A350" s="55"/>
      <c r="B350" s="265" t="s">
        <v>1082</v>
      </c>
      <c r="C350" s="266" t="s">
        <v>688</v>
      </c>
      <c r="D350" s="265" t="s">
        <v>51</v>
      </c>
      <c r="E350" s="265" t="s">
        <v>689</v>
      </c>
      <c r="F350" s="267" t="s">
        <v>44</v>
      </c>
      <c r="G350" s="277">
        <v>4</v>
      </c>
      <c r="H350" s="268">
        <v>209.66</v>
      </c>
      <c r="I350" s="287">
        <f>20.04+25.45</f>
        <v>45.49</v>
      </c>
      <c r="J350" s="268">
        <f t="shared" si="324"/>
        <v>57.71</v>
      </c>
      <c r="K350" s="292">
        <f>H350-I350</f>
        <v>164.17</v>
      </c>
      <c r="L350" s="268">
        <f t="shared" si="313"/>
        <v>208.28</v>
      </c>
      <c r="M350" s="268">
        <f t="shared" si="319"/>
        <v>265.99</v>
      </c>
      <c r="N350" s="268">
        <f t="shared" si="320"/>
        <v>230.84</v>
      </c>
      <c r="O350" s="268">
        <f t="shared" si="321"/>
        <v>833.12</v>
      </c>
      <c r="P350" s="268">
        <f t="shared" si="322"/>
        <v>1063.96</v>
      </c>
      <c r="Q350" s="269">
        <f t="shared" si="325"/>
        <v>4.0000000000000002E-4</v>
      </c>
      <c r="R350" s="44"/>
      <c r="S350" s="49">
        <f t="shared" si="326"/>
        <v>838.64</v>
      </c>
      <c r="T350" s="44"/>
      <c r="U350" s="44"/>
      <c r="V350" s="44"/>
      <c r="W350" s="44"/>
      <c r="X350" s="44"/>
      <c r="Y350" s="44"/>
      <c r="Z350" s="44"/>
      <c r="AA350" s="44"/>
      <c r="AB350" s="44"/>
      <c r="AC350" s="44"/>
      <c r="AD350" s="44"/>
      <c r="AE350" s="44"/>
      <c r="AF350" s="44"/>
      <c r="AG350" s="44"/>
      <c r="AH350" s="44"/>
      <c r="AI350" s="44"/>
      <c r="AJ350" s="44"/>
      <c r="AK350" s="44"/>
      <c r="AL350" s="44"/>
    </row>
    <row r="351" spans="1:38" ht="27.6" x14ac:dyDescent="0.25">
      <c r="A351" s="55"/>
      <c r="B351" s="265" t="s">
        <v>1083</v>
      </c>
      <c r="C351" s="266" t="s">
        <v>1512</v>
      </c>
      <c r="D351" s="265" t="s">
        <v>40</v>
      </c>
      <c r="E351" s="265" t="s">
        <v>1513</v>
      </c>
      <c r="F351" s="267" t="s">
        <v>44</v>
      </c>
      <c r="G351" s="277">
        <v>1</v>
      </c>
      <c r="H351" s="268">
        <f t="shared" si="318"/>
        <v>65.11</v>
      </c>
      <c r="I351" s="287">
        <v>29.47</v>
      </c>
      <c r="J351" s="268">
        <f t="shared" si="324"/>
        <v>37.39</v>
      </c>
      <c r="K351" s="292">
        <v>35.64</v>
      </c>
      <c r="L351" s="268">
        <f t="shared" si="313"/>
        <v>45.22</v>
      </c>
      <c r="M351" s="268">
        <f t="shared" si="319"/>
        <v>82.61</v>
      </c>
      <c r="N351" s="268">
        <f t="shared" si="320"/>
        <v>37.39</v>
      </c>
      <c r="O351" s="268">
        <f t="shared" si="321"/>
        <v>45.22</v>
      </c>
      <c r="P351" s="268">
        <f t="shared" si="322"/>
        <v>82.61</v>
      </c>
      <c r="Q351" s="269">
        <f t="shared" si="325"/>
        <v>0</v>
      </c>
      <c r="R351" s="44"/>
      <c r="S351" s="49">
        <f t="shared" si="326"/>
        <v>65.11</v>
      </c>
      <c r="T351" s="44"/>
      <c r="U351" s="44"/>
      <c r="V351" s="44"/>
      <c r="W351" s="44"/>
      <c r="X351" s="44"/>
      <c r="Y351" s="44"/>
      <c r="Z351" s="44"/>
      <c r="AA351" s="44"/>
      <c r="AB351" s="44"/>
      <c r="AC351" s="44"/>
      <c r="AD351" s="44"/>
      <c r="AE351" s="44"/>
      <c r="AF351" s="44"/>
      <c r="AG351" s="44"/>
      <c r="AH351" s="44"/>
      <c r="AI351" s="44"/>
      <c r="AJ351" s="44"/>
      <c r="AK351" s="44"/>
      <c r="AL351" s="44"/>
    </row>
    <row r="352" spans="1:38" ht="27.6" x14ac:dyDescent="0.25">
      <c r="A352" s="55"/>
      <c r="B352" s="265" t="s">
        <v>1084</v>
      </c>
      <c r="C352" s="266" t="s">
        <v>1514</v>
      </c>
      <c r="D352" s="265" t="s">
        <v>40</v>
      </c>
      <c r="E352" s="265" t="s">
        <v>1515</v>
      </c>
      <c r="F352" s="267" t="s">
        <v>44</v>
      </c>
      <c r="G352" s="277">
        <v>2</v>
      </c>
      <c r="H352" s="268">
        <f t="shared" si="318"/>
        <v>44.91</v>
      </c>
      <c r="I352" s="287">
        <v>17.96</v>
      </c>
      <c r="J352" s="268">
        <f t="shared" si="324"/>
        <v>22.79</v>
      </c>
      <c r="K352" s="292">
        <v>26.95</v>
      </c>
      <c r="L352" s="268">
        <f t="shared" si="313"/>
        <v>34.19</v>
      </c>
      <c r="M352" s="268">
        <f t="shared" si="319"/>
        <v>56.98</v>
      </c>
      <c r="N352" s="268">
        <f t="shared" si="320"/>
        <v>45.58</v>
      </c>
      <c r="O352" s="268">
        <f t="shared" si="321"/>
        <v>68.38</v>
      </c>
      <c r="P352" s="268">
        <f t="shared" si="322"/>
        <v>113.96</v>
      </c>
      <c r="Q352" s="269">
        <f t="shared" si="325"/>
        <v>0</v>
      </c>
      <c r="R352" s="44"/>
      <c r="S352" s="49">
        <f t="shared" si="326"/>
        <v>89.82</v>
      </c>
      <c r="T352" s="44"/>
      <c r="U352" s="44"/>
      <c r="V352" s="44"/>
      <c r="W352" s="44"/>
      <c r="X352" s="44"/>
      <c r="Y352" s="44"/>
      <c r="Z352" s="44"/>
      <c r="AA352" s="44"/>
      <c r="AB352" s="44"/>
      <c r="AC352" s="44"/>
      <c r="AD352" s="44"/>
      <c r="AE352" s="44"/>
      <c r="AF352" s="44"/>
      <c r="AG352" s="44"/>
      <c r="AH352" s="44"/>
      <c r="AI352" s="44"/>
      <c r="AJ352" s="44"/>
      <c r="AK352" s="44"/>
      <c r="AL352" s="44"/>
    </row>
    <row r="353" spans="1:38" ht="27.6" x14ac:dyDescent="0.25">
      <c r="A353" s="55"/>
      <c r="B353" s="265" t="s">
        <v>1085</v>
      </c>
      <c r="C353" s="266" t="s">
        <v>215</v>
      </c>
      <c r="D353" s="265" t="s">
        <v>40</v>
      </c>
      <c r="E353" s="265" t="s">
        <v>216</v>
      </c>
      <c r="F353" s="267" t="s">
        <v>44</v>
      </c>
      <c r="G353" s="277">
        <v>11</v>
      </c>
      <c r="H353" s="268">
        <f t="shared" si="318"/>
        <v>31.88</v>
      </c>
      <c r="I353" s="287">
        <v>15.09</v>
      </c>
      <c r="J353" s="268">
        <f t="shared" si="324"/>
        <v>19.14</v>
      </c>
      <c r="K353" s="292">
        <v>16.79</v>
      </c>
      <c r="L353" s="268">
        <f t="shared" si="313"/>
        <v>21.3</v>
      </c>
      <c r="M353" s="268">
        <f t="shared" si="319"/>
        <v>40.44</v>
      </c>
      <c r="N353" s="268">
        <f t="shared" si="320"/>
        <v>210.54</v>
      </c>
      <c r="O353" s="268">
        <f t="shared" si="321"/>
        <v>234.3</v>
      </c>
      <c r="P353" s="268">
        <f t="shared" si="322"/>
        <v>444.84</v>
      </c>
      <c r="Q353" s="269">
        <f t="shared" si="325"/>
        <v>2.0000000000000001E-4</v>
      </c>
      <c r="R353" s="44"/>
      <c r="S353" s="49">
        <f t="shared" si="326"/>
        <v>350.68</v>
      </c>
      <c r="T353" s="44"/>
      <c r="U353" s="44"/>
      <c r="V353" s="44"/>
      <c r="W353" s="44"/>
      <c r="X353" s="44"/>
      <c r="Y353" s="44"/>
      <c r="Z353" s="44"/>
      <c r="AA353" s="44"/>
      <c r="AB353" s="44"/>
      <c r="AC353" s="44"/>
      <c r="AD353" s="44"/>
      <c r="AE353" s="44"/>
      <c r="AF353" s="44"/>
      <c r="AG353" s="44"/>
      <c r="AH353" s="44"/>
      <c r="AI353" s="44"/>
      <c r="AJ353" s="44"/>
      <c r="AK353" s="44"/>
      <c r="AL353" s="44"/>
    </row>
    <row r="354" spans="1:38" ht="27.6" x14ac:dyDescent="0.25">
      <c r="A354" s="55"/>
      <c r="B354" s="265" t="s">
        <v>1086</v>
      </c>
      <c r="C354" s="266" t="s">
        <v>1431</v>
      </c>
      <c r="D354" s="265" t="s">
        <v>40</v>
      </c>
      <c r="E354" s="265" t="s">
        <v>1432</v>
      </c>
      <c r="F354" s="267" t="s">
        <v>44</v>
      </c>
      <c r="G354" s="277">
        <v>3</v>
      </c>
      <c r="H354" s="268">
        <f t="shared" si="318"/>
        <v>51.35</v>
      </c>
      <c r="I354" s="287">
        <v>23.75</v>
      </c>
      <c r="J354" s="268">
        <f t="shared" si="324"/>
        <v>30.13</v>
      </c>
      <c r="K354" s="292">
        <v>27.6</v>
      </c>
      <c r="L354" s="268">
        <f t="shared" si="313"/>
        <v>35.020000000000003</v>
      </c>
      <c r="M354" s="268">
        <f t="shared" si="319"/>
        <v>65.150000000000006</v>
      </c>
      <c r="N354" s="268">
        <f t="shared" si="320"/>
        <v>90.39</v>
      </c>
      <c r="O354" s="268">
        <f t="shared" si="321"/>
        <v>105.06</v>
      </c>
      <c r="P354" s="268">
        <f t="shared" si="322"/>
        <v>195.45</v>
      </c>
      <c r="Q354" s="269">
        <f t="shared" si="325"/>
        <v>1E-4</v>
      </c>
      <c r="R354" s="44"/>
      <c r="S354" s="49">
        <f t="shared" si="326"/>
        <v>154.05000000000001</v>
      </c>
      <c r="T354" s="44"/>
      <c r="U354" s="44"/>
      <c r="V354" s="44"/>
      <c r="W354" s="44"/>
      <c r="X354" s="44"/>
      <c r="Y354" s="44"/>
      <c r="Z354" s="44"/>
      <c r="AA354" s="44"/>
      <c r="AB354" s="44"/>
      <c r="AC354" s="44"/>
      <c r="AD354" s="44"/>
      <c r="AE354" s="44"/>
      <c r="AF354" s="44"/>
      <c r="AG354" s="44"/>
      <c r="AH354" s="44"/>
      <c r="AI354" s="44"/>
      <c r="AJ354" s="44"/>
      <c r="AK354" s="44"/>
      <c r="AL354" s="44"/>
    </row>
    <row r="355" spans="1:38" ht="27.6" x14ac:dyDescent="0.25">
      <c r="A355" s="55"/>
      <c r="B355" s="265" t="s">
        <v>1087</v>
      </c>
      <c r="C355" s="266" t="s">
        <v>1516</v>
      </c>
      <c r="D355" s="265" t="s">
        <v>40</v>
      </c>
      <c r="E355" s="265" t="s">
        <v>1517</v>
      </c>
      <c r="F355" s="267" t="s">
        <v>44</v>
      </c>
      <c r="G355" s="277">
        <v>1</v>
      </c>
      <c r="H355" s="268">
        <f t="shared" si="318"/>
        <v>70.78</v>
      </c>
      <c r="I355" s="287">
        <v>32.340000000000003</v>
      </c>
      <c r="J355" s="268">
        <f t="shared" si="324"/>
        <v>41.03</v>
      </c>
      <c r="K355" s="292">
        <v>38.44</v>
      </c>
      <c r="L355" s="268">
        <f t="shared" si="313"/>
        <v>48.77</v>
      </c>
      <c r="M355" s="268">
        <f t="shared" si="319"/>
        <v>89.8</v>
      </c>
      <c r="N355" s="268">
        <f t="shared" si="320"/>
        <v>41.03</v>
      </c>
      <c r="O355" s="268">
        <f t="shared" si="321"/>
        <v>48.77</v>
      </c>
      <c r="P355" s="268">
        <f t="shared" si="322"/>
        <v>89.8</v>
      </c>
      <c r="Q355" s="269">
        <f t="shared" si="325"/>
        <v>0</v>
      </c>
      <c r="R355" s="44"/>
      <c r="S355" s="49">
        <f t="shared" si="326"/>
        <v>70.78</v>
      </c>
      <c r="T355" s="44"/>
      <c r="U355" s="44"/>
      <c r="V355" s="44"/>
      <c r="W355" s="44"/>
      <c r="X355" s="44"/>
      <c r="Y355" s="44"/>
      <c r="Z355" s="44"/>
      <c r="AA355" s="44"/>
      <c r="AB355" s="44"/>
      <c r="AC355" s="44"/>
      <c r="AD355" s="44"/>
      <c r="AE355" s="44"/>
      <c r="AF355" s="44"/>
      <c r="AG355" s="44"/>
      <c r="AH355" s="44"/>
      <c r="AI355" s="44"/>
      <c r="AJ355" s="44"/>
      <c r="AK355" s="44"/>
      <c r="AL355" s="44"/>
    </row>
    <row r="356" spans="1:38" ht="27.6" x14ac:dyDescent="0.25">
      <c r="A356" s="55"/>
      <c r="B356" s="265" t="s">
        <v>1088</v>
      </c>
      <c r="C356" s="266" t="s">
        <v>690</v>
      </c>
      <c r="D356" s="265" t="s">
        <v>40</v>
      </c>
      <c r="E356" s="265" t="s">
        <v>691</v>
      </c>
      <c r="F356" s="267" t="s">
        <v>44</v>
      </c>
      <c r="G356" s="277">
        <v>21</v>
      </c>
      <c r="H356" s="268">
        <f t="shared" si="318"/>
        <v>26.22</v>
      </c>
      <c r="I356" s="287">
        <v>12.21</v>
      </c>
      <c r="J356" s="268">
        <f t="shared" si="324"/>
        <v>15.49</v>
      </c>
      <c r="K356" s="292">
        <v>14.01</v>
      </c>
      <c r="L356" s="268">
        <f t="shared" si="313"/>
        <v>17.77</v>
      </c>
      <c r="M356" s="268">
        <f t="shared" si="319"/>
        <v>33.26</v>
      </c>
      <c r="N356" s="268">
        <f t="shared" si="320"/>
        <v>325.29000000000002</v>
      </c>
      <c r="O356" s="268">
        <f t="shared" si="321"/>
        <v>373.17</v>
      </c>
      <c r="P356" s="268">
        <f t="shared" si="322"/>
        <v>698.46</v>
      </c>
      <c r="Q356" s="269">
        <f t="shared" si="325"/>
        <v>2.9999999999999997E-4</v>
      </c>
      <c r="R356" s="44"/>
      <c r="S356" s="49">
        <f t="shared" si="326"/>
        <v>550.62</v>
      </c>
      <c r="T356" s="44"/>
      <c r="U356" s="44"/>
      <c r="V356" s="44"/>
      <c r="W356" s="44"/>
      <c r="X356" s="44"/>
      <c r="Y356" s="44"/>
      <c r="Z356" s="44"/>
      <c r="AA356" s="44"/>
      <c r="AB356" s="44"/>
      <c r="AC356" s="44"/>
      <c r="AD356" s="44"/>
      <c r="AE356" s="44"/>
      <c r="AF356" s="44"/>
      <c r="AG356" s="44"/>
      <c r="AH356" s="44"/>
      <c r="AI356" s="44"/>
      <c r="AJ356" s="44"/>
      <c r="AK356" s="44"/>
      <c r="AL356" s="44"/>
    </row>
    <row r="357" spans="1:38" x14ac:dyDescent="0.25">
      <c r="A357" s="55"/>
      <c r="B357" s="265" t="s">
        <v>1089</v>
      </c>
      <c r="C357" s="266" t="s">
        <v>692</v>
      </c>
      <c r="D357" s="265" t="s">
        <v>51</v>
      </c>
      <c r="E357" s="265" t="s">
        <v>693</v>
      </c>
      <c r="F357" s="267" t="s">
        <v>44</v>
      </c>
      <c r="G357" s="277">
        <v>38</v>
      </c>
      <c r="H357" s="268">
        <v>11.09</v>
      </c>
      <c r="I357" s="287">
        <f>2.64+3.35</f>
        <v>5.99</v>
      </c>
      <c r="J357" s="268">
        <f t="shared" si="324"/>
        <v>7.6</v>
      </c>
      <c r="K357" s="292">
        <f>H357-I357</f>
        <v>5.0999999999999996</v>
      </c>
      <c r="L357" s="268">
        <f t="shared" si="313"/>
        <v>6.47</v>
      </c>
      <c r="M357" s="268">
        <f t="shared" si="319"/>
        <v>14.07</v>
      </c>
      <c r="N357" s="268">
        <f t="shared" si="320"/>
        <v>288.8</v>
      </c>
      <c r="O357" s="268">
        <f t="shared" si="321"/>
        <v>245.86</v>
      </c>
      <c r="P357" s="268">
        <f t="shared" si="322"/>
        <v>534.66</v>
      </c>
      <c r="Q357" s="269">
        <f t="shared" si="325"/>
        <v>2.0000000000000001E-4</v>
      </c>
      <c r="R357" s="44"/>
      <c r="S357" s="49">
        <f t="shared" si="326"/>
        <v>421.42</v>
      </c>
      <c r="T357" s="44"/>
      <c r="U357" s="44"/>
      <c r="V357" s="44"/>
      <c r="W357" s="44"/>
      <c r="X357" s="44"/>
      <c r="Y357" s="44"/>
      <c r="Z357" s="44"/>
      <c r="AA357" s="44"/>
      <c r="AB357" s="44"/>
      <c r="AC357" s="44"/>
      <c r="AD357" s="44"/>
      <c r="AE357" s="44"/>
      <c r="AF357" s="44"/>
      <c r="AG357" s="44"/>
      <c r="AH357" s="44"/>
      <c r="AI357" s="44"/>
      <c r="AJ357" s="44"/>
      <c r="AK357" s="44"/>
      <c r="AL357" s="44"/>
    </row>
    <row r="358" spans="1:38" x14ac:dyDescent="0.25">
      <c r="A358" s="55"/>
      <c r="B358" s="265" t="s">
        <v>1090</v>
      </c>
      <c r="C358" s="266" t="s">
        <v>694</v>
      </c>
      <c r="D358" s="265" t="s">
        <v>51</v>
      </c>
      <c r="E358" s="265" t="s">
        <v>695</v>
      </c>
      <c r="F358" s="267" t="s">
        <v>44</v>
      </c>
      <c r="G358" s="277">
        <v>227</v>
      </c>
      <c r="H358" s="268">
        <v>8.18</v>
      </c>
      <c r="I358" s="287">
        <f>0.65+0.82</f>
        <v>1.47</v>
      </c>
      <c r="J358" s="268">
        <f t="shared" si="324"/>
        <v>1.86</v>
      </c>
      <c r="K358" s="292">
        <f>H358-I358</f>
        <v>6.71</v>
      </c>
      <c r="L358" s="268">
        <f t="shared" si="313"/>
        <v>8.51</v>
      </c>
      <c r="M358" s="268">
        <f t="shared" si="319"/>
        <v>10.37</v>
      </c>
      <c r="N358" s="268">
        <f t="shared" si="320"/>
        <v>422.22</v>
      </c>
      <c r="O358" s="268">
        <f t="shared" si="321"/>
        <v>1931.77</v>
      </c>
      <c r="P358" s="268">
        <f t="shared" si="322"/>
        <v>2353.9899999999998</v>
      </c>
      <c r="Q358" s="269">
        <f t="shared" si="325"/>
        <v>8.9999999999999998E-4</v>
      </c>
      <c r="R358" s="44"/>
      <c r="S358" s="49">
        <f t="shared" si="326"/>
        <v>1856.86</v>
      </c>
      <c r="T358" s="44"/>
      <c r="U358" s="44"/>
      <c r="V358" s="44"/>
      <c r="W358" s="44"/>
      <c r="X358" s="44"/>
      <c r="Y358" s="44"/>
      <c r="Z358" s="44"/>
      <c r="AA358" s="44"/>
      <c r="AB358" s="44"/>
      <c r="AC358" s="44"/>
      <c r="AD358" s="44"/>
      <c r="AE358" s="44"/>
      <c r="AF358" s="44"/>
      <c r="AG358" s="44"/>
      <c r="AH358" s="44"/>
      <c r="AI358" s="44"/>
      <c r="AJ358" s="44"/>
      <c r="AK358" s="44"/>
      <c r="AL358" s="44"/>
    </row>
    <row r="359" spans="1:38" x14ac:dyDescent="0.25">
      <c r="A359" s="55"/>
      <c r="B359" s="265" t="s">
        <v>1091</v>
      </c>
      <c r="C359" s="266" t="s">
        <v>694</v>
      </c>
      <c r="D359" s="265" t="s">
        <v>51</v>
      </c>
      <c r="E359" s="265" t="s">
        <v>695</v>
      </c>
      <c r="F359" s="267" t="s">
        <v>44</v>
      </c>
      <c r="G359" s="277">
        <v>227</v>
      </c>
      <c r="H359" s="268">
        <v>8.18</v>
      </c>
      <c r="I359" s="287">
        <f>0.65+0.82</f>
        <v>1.47</v>
      </c>
      <c r="J359" s="268">
        <f t="shared" si="324"/>
        <v>1.86</v>
      </c>
      <c r="K359" s="292">
        <f>H359-I359</f>
        <v>6.71</v>
      </c>
      <c r="L359" s="268">
        <f t="shared" si="313"/>
        <v>8.51</v>
      </c>
      <c r="M359" s="268">
        <f t="shared" si="319"/>
        <v>10.37</v>
      </c>
      <c r="N359" s="268">
        <f t="shared" si="320"/>
        <v>422.22</v>
      </c>
      <c r="O359" s="268">
        <f t="shared" si="321"/>
        <v>1931.77</v>
      </c>
      <c r="P359" s="268">
        <f t="shared" si="322"/>
        <v>2353.9899999999998</v>
      </c>
      <c r="Q359" s="269">
        <f t="shared" si="325"/>
        <v>8.9999999999999998E-4</v>
      </c>
      <c r="R359" s="44"/>
      <c r="S359" s="49">
        <f t="shared" si="326"/>
        <v>1856.86</v>
      </c>
      <c r="T359" s="44"/>
      <c r="U359" s="44"/>
      <c r="V359" s="44"/>
      <c r="W359" s="44"/>
      <c r="X359" s="44"/>
      <c r="Y359" s="44"/>
      <c r="Z359" s="44"/>
      <c r="AA359" s="44"/>
      <c r="AB359" s="44"/>
      <c r="AC359" s="44"/>
      <c r="AD359" s="44"/>
      <c r="AE359" s="44"/>
      <c r="AF359" s="44"/>
      <c r="AG359" s="44"/>
      <c r="AH359" s="44"/>
      <c r="AI359" s="44"/>
      <c r="AJ359" s="44"/>
      <c r="AK359" s="44"/>
      <c r="AL359" s="44"/>
    </row>
    <row r="360" spans="1:38" ht="27.6" x14ac:dyDescent="0.25">
      <c r="A360" s="55"/>
      <c r="B360" s="265" t="s">
        <v>1092</v>
      </c>
      <c r="C360" s="266" t="s">
        <v>696</v>
      </c>
      <c r="D360" s="265" t="s">
        <v>40</v>
      </c>
      <c r="E360" s="265" t="s">
        <v>697</v>
      </c>
      <c r="F360" s="267" t="s">
        <v>44</v>
      </c>
      <c r="G360" s="277">
        <v>39</v>
      </c>
      <c r="H360" s="268">
        <f t="shared" si="318"/>
        <v>30.83</v>
      </c>
      <c r="I360" s="287">
        <v>15.09</v>
      </c>
      <c r="J360" s="268">
        <f t="shared" si="324"/>
        <v>19.14</v>
      </c>
      <c r="K360" s="292">
        <v>15.74</v>
      </c>
      <c r="L360" s="268">
        <f t="shared" si="313"/>
        <v>19.97</v>
      </c>
      <c r="M360" s="268">
        <f t="shared" si="319"/>
        <v>39.11</v>
      </c>
      <c r="N360" s="268">
        <f t="shared" si="320"/>
        <v>746.46</v>
      </c>
      <c r="O360" s="268">
        <f t="shared" si="321"/>
        <v>778.83</v>
      </c>
      <c r="P360" s="268">
        <f t="shared" si="322"/>
        <v>1525.29</v>
      </c>
      <c r="Q360" s="269">
        <f t="shared" si="325"/>
        <v>5.9999999999999995E-4</v>
      </c>
      <c r="R360" s="44"/>
      <c r="S360" s="49">
        <f t="shared" si="326"/>
        <v>1202.3699999999999</v>
      </c>
      <c r="T360" s="44"/>
      <c r="U360" s="44"/>
      <c r="V360" s="44"/>
      <c r="W360" s="44"/>
      <c r="X360" s="44"/>
      <c r="Y360" s="44"/>
      <c r="Z360" s="44"/>
      <c r="AA360" s="44"/>
      <c r="AB360" s="44"/>
      <c r="AC360" s="44"/>
      <c r="AD360" s="44"/>
      <c r="AE360" s="44"/>
      <c r="AF360" s="44"/>
      <c r="AG360" s="44"/>
      <c r="AH360" s="44"/>
      <c r="AI360" s="44"/>
      <c r="AJ360" s="44"/>
      <c r="AK360" s="44"/>
      <c r="AL360" s="44"/>
    </row>
    <row r="361" spans="1:38" x14ac:dyDescent="0.25">
      <c r="A361" s="55"/>
      <c r="B361" s="265" t="s">
        <v>1093</v>
      </c>
      <c r="C361" s="266" t="s">
        <v>1518</v>
      </c>
      <c r="D361" s="265" t="s">
        <v>51</v>
      </c>
      <c r="E361" s="265" t="s">
        <v>1519</v>
      </c>
      <c r="F361" s="267" t="s">
        <v>44</v>
      </c>
      <c r="G361" s="277">
        <v>21</v>
      </c>
      <c r="H361" s="268">
        <v>19.23</v>
      </c>
      <c r="I361" s="287">
        <f>2.75+3.49</f>
        <v>6.24</v>
      </c>
      <c r="J361" s="268">
        <f t="shared" si="324"/>
        <v>7.92</v>
      </c>
      <c r="K361" s="292">
        <f>H361-I361</f>
        <v>12.99</v>
      </c>
      <c r="L361" s="268">
        <f t="shared" si="313"/>
        <v>16.48</v>
      </c>
      <c r="M361" s="268">
        <f t="shared" si="319"/>
        <v>24.4</v>
      </c>
      <c r="N361" s="268">
        <f t="shared" si="320"/>
        <v>166.32</v>
      </c>
      <c r="O361" s="268">
        <f t="shared" si="321"/>
        <v>346.08</v>
      </c>
      <c r="P361" s="268">
        <f t="shared" si="322"/>
        <v>512.4</v>
      </c>
      <c r="Q361" s="269">
        <f t="shared" si="325"/>
        <v>2.0000000000000001E-4</v>
      </c>
      <c r="R361" s="44"/>
      <c r="S361" s="49">
        <f t="shared" si="326"/>
        <v>403.83</v>
      </c>
      <c r="T361" s="44"/>
      <c r="U361" s="44"/>
      <c r="V361" s="44"/>
      <c r="W361" s="44"/>
      <c r="X361" s="44"/>
      <c r="Y361" s="44"/>
      <c r="Z361" s="44"/>
      <c r="AA361" s="44"/>
      <c r="AB361" s="44"/>
      <c r="AC361" s="44"/>
      <c r="AD361" s="44"/>
      <c r="AE361" s="44"/>
      <c r="AF361" s="44"/>
      <c r="AG361" s="44"/>
      <c r="AH361" s="44"/>
      <c r="AI361" s="44"/>
      <c r="AJ361" s="44"/>
      <c r="AK361" s="44"/>
      <c r="AL361" s="44"/>
    </row>
    <row r="362" spans="1:38" ht="27.6" x14ac:dyDescent="0.25">
      <c r="A362" s="55"/>
      <c r="B362" s="265" t="s">
        <v>1094</v>
      </c>
      <c r="C362" s="266" t="s">
        <v>385</v>
      </c>
      <c r="D362" s="265" t="s">
        <v>40</v>
      </c>
      <c r="E362" s="265" t="s">
        <v>386</v>
      </c>
      <c r="F362" s="267" t="s">
        <v>44</v>
      </c>
      <c r="G362" s="277">
        <v>15</v>
      </c>
      <c r="H362" s="268">
        <f t="shared" si="318"/>
        <v>34.89</v>
      </c>
      <c r="I362" s="287">
        <v>16.48</v>
      </c>
      <c r="J362" s="268">
        <f t="shared" si="324"/>
        <v>20.91</v>
      </c>
      <c r="K362" s="292">
        <v>18.41</v>
      </c>
      <c r="L362" s="268">
        <f t="shared" si="313"/>
        <v>23.36</v>
      </c>
      <c r="M362" s="268">
        <f t="shared" si="319"/>
        <v>44.27</v>
      </c>
      <c r="N362" s="268">
        <f t="shared" si="320"/>
        <v>313.64999999999998</v>
      </c>
      <c r="O362" s="268">
        <f t="shared" si="321"/>
        <v>350.4</v>
      </c>
      <c r="P362" s="268">
        <f t="shared" si="322"/>
        <v>664.05</v>
      </c>
      <c r="Q362" s="269">
        <f t="shared" si="325"/>
        <v>2.9999999999999997E-4</v>
      </c>
      <c r="R362" s="44"/>
      <c r="S362" s="49">
        <f t="shared" si="326"/>
        <v>523.35</v>
      </c>
      <c r="T362" s="44"/>
      <c r="U362" s="44"/>
      <c r="V362" s="44"/>
      <c r="W362" s="44"/>
      <c r="X362" s="44"/>
      <c r="Y362" s="44"/>
      <c r="Z362" s="44"/>
      <c r="AA362" s="44"/>
      <c r="AB362" s="44"/>
      <c r="AC362" s="44"/>
      <c r="AD362" s="44"/>
      <c r="AE362" s="44"/>
      <c r="AF362" s="44"/>
      <c r="AG362" s="44"/>
      <c r="AH362" s="44"/>
      <c r="AI362" s="44"/>
      <c r="AJ362" s="44"/>
      <c r="AK362" s="44"/>
      <c r="AL362" s="44"/>
    </row>
    <row r="363" spans="1:38" ht="27.6" x14ac:dyDescent="0.25">
      <c r="A363" s="55"/>
      <c r="B363" s="265" t="s">
        <v>1095</v>
      </c>
      <c r="C363" s="266" t="s">
        <v>1520</v>
      </c>
      <c r="D363" s="265" t="s">
        <v>40</v>
      </c>
      <c r="E363" s="265" t="s">
        <v>1521</v>
      </c>
      <c r="F363" s="267" t="s">
        <v>44</v>
      </c>
      <c r="G363" s="277">
        <v>2</v>
      </c>
      <c r="H363" s="268">
        <f t="shared" si="318"/>
        <v>69.569999999999993</v>
      </c>
      <c r="I363" s="287">
        <v>31.15</v>
      </c>
      <c r="J363" s="268">
        <f t="shared" si="324"/>
        <v>39.520000000000003</v>
      </c>
      <c r="K363" s="292">
        <v>38.42</v>
      </c>
      <c r="L363" s="268">
        <f t="shared" si="313"/>
        <v>48.74</v>
      </c>
      <c r="M363" s="268">
        <f t="shared" si="319"/>
        <v>88.26</v>
      </c>
      <c r="N363" s="268">
        <f t="shared" si="320"/>
        <v>79.040000000000006</v>
      </c>
      <c r="O363" s="268">
        <f t="shared" si="321"/>
        <v>97.48</v>
      </c>
      <c r="P363" s="268">
        <f t="shared" si="322"/>
        <v>176.52</v>
      </c>
      <c r="Q363" s="269">
        <f t="shared" si="325"/>
        <v>1E-4</v>
      </c>
      <c r="R363" s="44"/>
      <c r="S363" s="49">
        <f t="shared" si="326"/>
        <v>139.13999999999999</v>
      </c>
      <c r="T363" s="44"/>
      <c r="U363" s="44"/>
      <c r="V363" s="44"/>
      <c r="W363" s="44"/>
      <c r="X363" s="44"/>
      <c r="Y363" s="44"/>
      <c r="Z363" s="44"/>
      <c r="AA363" s="44"/>
      <c r="AB363" s="44"/>
      <c r="AC363" s="44"/>
      <c r="AD363" s="44"/>
      <c r="AE363" s="44"/>
      <c r="AF363" s="44"/>
      <c r="AG363" s="44"/>
      <c r="AH363" s="44"/>
      <c r="AI363" s="44"/>
      <c r="AJ363" s="44"/>
      <c r="AK363" s="44"/>
      <c r="AL363" s="44"/>
    </row>
    <row r="364" spans="1:38" ht="27.6" customHeight="1" x14ac:dyDescent="0.25">
      <c r="A364" s="55"/>
      <c r="B364" s="265" t="s">
        <v>1096</v>
      </c>
      <c r="C364" s="266" t="s">
        <v>1522</v>
      </c>
      <c r="D364" s="265" t="s">
        <v>40</v>
      </c>
      <c r="E364" s="265" t="s">
        <v>1523</v>
      </c>
      <c r="F364" s="267" t="s">
        <v>44</v>
      </c>
      <c r="G364" s="277">
        <v>1</v>
      </c>
      <c r="H364" s="268">
        <f t="shared" si="318"/>
        <v>48.7</v>
      </c>
      <c r="I364" s="287">
        <v>22.26</v>
      </c>
      <c r="J364" s="268">
        <f t="shared" si="324"/>
        <v>28.24</v>
      </c>
      <c r="K364" s="292">
        <v>26.44</v>
      </c>
      <c r="L364" s="268">
        <f t="shared" si="313"/>
        <v>33.54</v>
      </c>
      <c r="M364" s="268">
        <f t="shared" si="319"/>
        <v>61.78</v>
      </c>
      <c r="N364" s="268">
        <f t="shared" si="320"/>
        <v>28.24</v>
      </c>
      <c r="O364" s="268">
        <f t="shared" si="321"/>
        <v>33.54</v>
      </c>
      <c r="P364" s="268">
        <f t="shared" si="322"/>
        <v>61.78</v>
      </c>
      <c r="Q364" s="269">
        <f t="shared" si="325"/>
        <v>0</v>
      </c>
      <c r="R364" s="44"/>
      <c r="S364" s="49">
        <f t="shared" si="326"/>
        <v>48.7</v>
      </c>
      <c r="T364" s="44"/>
      <c r="U364" s="44"/>
      <c r="V364" s="44"/>
      <c r="W364" s="44"/>
      <c r="X364" s="44"/>
      <c r="Y364" s="44"/>
      <c r="Z364" s="44"/>
      <c r="AA364" s="44"/>
      <c r="AB364" s="44"/>
      <c r="AC364" s="44"/>
      <c r="AD364" s="44"/>
      <c r="AE364" s="44"/>
      <c r="AF364" s="44"/>
      <c r="AG364" s="44"/>
      <c r="AH364" s="44"/>
      <c r="AI364" s="44"/>
      <c r="AJ364" s="44"/>
      <c r="AK364" s="44"/>
      <c r="AL364" s="44"/>
    </row>
    <row r="365" spans="1:38" ht="27.6" x14ac:dyDescent="0.25">
      <c r="A365" s="55"/>
      <c r="B365" s="265" t="s">
        <v>1099</v>
      </c>
      <c r="C365" s="266">
        <v>92002</v>
      </c>
      <c r="D365" s="265" t="s">
        <v>40</v>
      </c>
      <c r="E365" s="265" t="s">
        <v>698</v>
      </c>
      <c r="F365" s="267" t="s">
        <v>44</v>
      </c>
      <c r="G365" s="277">
        <v>112</v>
      </c>
      <c r="H365" s="268">
        <f t="shared" si="318"/>
        <v>39.549999999999997</v>
      </c>
      <c r="I365" s="287">
        <v>19.41</v>
      </c>
      <c r="J365" s="268">
        <f t="shared" si="324"/>
        <v>24.63</v>
      </c>
      <c r="K365" s="292">
        <v>20.14</v>
      </c>
      <c r="L365" s="268">
        <f t="shared" si="313"/>
        <v>25.55</v>
      </c>
      <c r="M365" s="268">
        <f t="shared" si="319"/>
        <v>50.18</v>
      </c>
      <c r="N365" s="268">
        <f t="shared" si="320"/>
        <v>2758.56</v>
      </c>
      <c r="O365" s="268">
        <f t="shared" si="321"/>
        <v>2861.6</v>
      </c>
      <c r="P365" s="268">
        <f t="shared" si="322"/>
        <v>5620.16</v>
      </c>
      <c r="Q365" s="269">
        <f t="shared" si="325"/>
        <v>2.2000000000000001E-3</v>
      </c>
      <c r="R365" s="44"/>
      <c r="S365" s="49">
        <f t="shared" si="326"/>
        <v>4429.6000000000004</v>
      </c>
      <c r="T365" s="44"/>
      <c r="U365" s="44"/>
      <c r="V365" s="44"/>
      <c r="W365" s="44"/>
      <c r="X365" s="44"/>
      <c r="Y365" s="44"/>
      <c r="Z365" s="44"/>
      <c r="AA365" s="44"/>
      <c r="AB365" s="44"/>
      <c r="AC365" s="44"/>
      <c r="AD365" s="44"/>
      <c r="AE365" s="44"/>
      <c r="AF365" s="44"/>
      <c r="AG365" s="44"/>
      <c r="AH365" s="44"/>
      <c r="AI365" s="44"/>
      <c r="AJ365" s="44"/>
      <c r="AK365" s="44"/>
      <c r="AL365" s="44"/>
    </row>
    <row r="366" spans="1:38" ht="27.6" x14ac:dyDescent="0.25">
      <c r="A366" s="55"/>
      <c r="B366" s="265" t="s">
        <v>1100</v>
      </c>
      <c r="C366" s="266" t="s">
        <v>699</v>
      </c>
      <c r="D366" s="265" t="s">
        <v>40</v>
      </c>
      <c r="E366" s="265" t="s">
        <v>700</v>
      </c>
      <c r="F366" s="267" t="s">
        <v>44</v>
      </c>
      <c r="G366" s="277">
        <v>6</v>
      </c>
      <c r="H366" s="268">
        <f t="shared" si="318"/>
        <v>43.59</v>
      </c>
      <c r="I366" s="287">
        <v>19.41</v>
      </c>
      <c r="J366" s="268">
        <f t="shared" si="324"/>
        <v>24.63</v>
      </c>
      <c r="K366" s="292">
        <v>24.18</v>
      </c>
      <c r="L366" s="268">
        <f t="shared" si="313"/>
        <v>30.68</v>
      </c>
      <c r="M366" s="268">
        <f t="shared" si="319"/>
        <v>55.31</v>
      </c>
      <c r="N366" s="268">
        <f t="shared" si="320"/>
        <v>147.78</v>
      </c>
      <c r="O366" s="268">
        <f t="shared" si="321"/>
        <v>184.08</v>
      </c>
      <c r="P366" s="268">
        <f t="shared" si="322"/>
        <v>331.86</v>
      </c>
      <c r="Q366" s="269">
        <f t="shared" si="325"/>
        <v>1E-4</v>
      </c>
      <c r="R366" s="44"/>
      <c r="S366" s="49">
        <f t="shared" si="326"/>
        <v>261.54000000000002</v>
      </c>
      <c r="T366" s="44"/>
      <c r="U366" s="44"/>
      <c r="V366" s="44"/>
      <c r="W366" s="44"/>
      <c r="X366" s="44"/>
      <c r="Y366" s="44"/>
      <c r="Z366" s="44"/>
      <c r="AA366" s="44"/>
      <c r="AB366" s="44"/>
      <c r="AC366" s="44"/>
      <c r="AD366" s="44"/>
      <c r="AE366" s="44"/>
      <c r="AF366" s="44"/>
      <c r="AG366" s="44"/>
      <c r="AH366" s="44"/>
      <c r="AI366" s="44"/>
      <c r="AJ366" s="44"/>
      <c r="AK366" s="44"/>
      <c r="AL366" s="44"/>
    </row>
    <row r="367" spans="1:38" ht="27.6" x14ac:dyDescent="0.25">
      <c r="A367" s="55"/>
      <c r="B367" s="265" t="s">
        <v>1101</v>
      </c>
      <c r="C367" s="266" t="s">
        <v>701</v>
      </c>
      <c r="D367" s="265" t="s">
        <v>40</v>
      </c>
      <c r="E367" s="265" t="s">
        <v>702</v>
      </c>
      <c r="F367" s="267" t="s">
        <v>44</v>
      </c>
      <c r="G367" s="277">
        <v>46</v>
      </c>
      <c r="H367" s="268">
        <f t="shared" si="318"/>
        <v>21.13</v>
      </c>
      <c r="I367" s="287">
        <v>10.76</v>
      </c>
      <c r="J367" s="268">
        <f t="shared" si="324"/>
        <v>13.65</v>
      </c>
      <c r="K367" s="292">
        <v>10.37</v>
      </c>
      <c r="L367" s="268">
        <f t="shared" si="313"/>
        <v>13.16</v>
      </c>
      <c r="M367" s="268">
        <f t="shared" si="319"/>
        <v>26.81</v>
      </c>
      <c r="N367" s="268">
        <f t="shared" si="320"/>
        <v>627.9</v>
      </c>
      <c r="O367" s="268">
        <f t="shared" si="321"/>
        <v>605.36</v>
      </c>
      <c r="P367" s="268">
        <f t="shared" si="322"/>
        <v>1233.26</v>
      </c>
      <c r="Q367" s="269">
        <f t="shared" si="325"/>
        <v>5.0000000000000001E-4</v>
      </c>
      <c r="R367" s="44"/>
      <c r="S367" s="49">
        <f t="shared" si="326"/>
        <v>971.98</v>
      </c>
      <c r="T367" s="44"/>
      <c r="U367" s="44"/>
      <c r="V367" s="44"/>
      <c r="W367" s="44"/>
      <c r="X367" s="44"/>
      <c r="Y367" s="44"/>
      <c r="Z367" s="44"/>
      <c r="AA367" s="44"/>
      <c r="AB367" s="44"/>
      <c r="AC367" s="44"/>
      <c r="AD367" s="44"/>
      <c r="AE367" s="44"/>
      <c r="AF367" s="44"/>
      <c r="AG367" s="44"/>
      <c r="AH367" s="44"/>
      <c r="AI367" s="44"/>
      <c r="AJ367" s="44"/>
      <c r="AK367" s="44"/>
      <c r="AL367" s="44"/>
    </row>
    <row r="368" spans="1:38" ht="27.6" x14ac:dyDescent="0.25">
      <c r="A368" s="55"/>
      <c r="B368" s="265" t="s">
        <v>1305</v>
      </c>
      <c r="C368" s="266" t="s">
        <v>703</v>
      </c>
      <c r="D368" s="265" t="s">
        <v>40</v>
      </c>
      <c r="E368" s="265" t="s">
        <v>704</v>
      </c>
      <c r="F368" s="267" t="s">
        <v>44</v>
      </c>
      <c r="G368" s="277">
        <v>15</v>
      </c>
      <c r="H368" s="268">
        <f t="shared" si="318"/>
        <v>23.15</v>
      </c>
      <c r="I368" s="287">
        <v>10.75</v>
      </c>
      <c r="J368" s="268">
        <f t="shared" si="324"/>
        <v>13.64</v>
      </c>
      <c r="K368" s="292">
        <v>12.4</v>
      </c>
      <c r="L368" s="268">
        <f t="shared" si="313"/>
        <v>15.73</v>
      </c>
      <c r="M368" s="268">
        <f t="shared" si="319"/>
        <v>29.37</v>
      </c>
      <c r="N368" s="268">
        <f t="shared" si="320"/>
        <v>204.6</v>
      </c>
      <c r="O368" s="268">
        <f t="shared" si="321"/>
        <v>235.95</v>
      </c>
      <c r="P368" s="268">
        <f t="shared" si="322"/>
        <v>440.55</v>
      </c>
      <c r="Q368" s="269">
        <f t="shared" si="325"/>
        <v>2.0000000000000001E-4</v>
      </c>
      <c r="R368" s="44"/>
      <c r="S368" s="49">
        <f t="shared" si="326"/>
        <v>347.25</v>
      </c>
      <c r="T368" s="44"/>
      <c r="U368" s="44"/>
      <c r="V368" s="44"/>
      <c r="W368" s="44"/>
      <c r="X368" s="44"/>
      <c r="Y368" s="44"/>
      <c r="Z368" s="44"/>
      <c r="AA368" s="44"/>
      <c r="AB368" s="44"/>
      <c r="AC368" s="44"/>
      <c r="AD368" s="44"/>
      <c r="AE368" s="44"/>
      <c r="AF368" s="44"/>
      <c r="AG368" s="44"/>
      <c r="AH368" s="44"/>
      <c r="AI368" s="44"/>
      <c r="AJ368" s="44"/>
      <c r="AK368" s="44"/>
      <c r="AL368" s="44"/>
    </row>
    <row r="369" spans="1:38" x14ac:dyDescent="0.25">
      <c r="A369" s="55"/>
      <c r="B369" s="265" t="s">
        <v>1306</v>
      </c>
      <c r="C369" s="266" t="s">
        <v>1524</v>
      </c>
      <c r="D369" s="265" t="s">
        <v>51</v>
      </c>
      <c r="E369" s="265" t="s">
        <v>1525</v>
      </c>
      <c r="F369" s="267" t="s">
        <v>44</v>
      </c>
      <c r="G369" s="277">
        <v>1</v>
      </c>
      <c r="H369" s="268">
        <v>161.69</v>
      </c>
      <c r="I369" s="287">
        <f>39.75+50.47</f>
        <v>90.22</v>
      </c>
      <c r="J369" s="268">
        <f t="shared" si="324"/>
        <v>114.46</v>
      </c>
      <c r="K369" s="292">
        <f>H369-I369</f>
        <v>71.47</v>
      </c>
      <c r="L369" s="268">
        <f t="shared" si="313"/>
        <v>90.67</v>
      </c>
      <c r="M369" s="268">
        <f t="shared" si="319"/>
        <v>205.13</v>
      </c>
      <c r="N369" s="268">
        <f t="shared" si="320"/>
        <v>114.46</v>
      </c>
      <c r="O369" s="268">
        <f t="shared" si="321"/>
        <v>90.67</v>
      </c>
      <c r="P369" s="268">
        <f t="shared" si="322"/>
        <v>205.13</v>
      </c>
      <c r="Q369" s="269">
        <f t="shared" si="325"/>
        <v>1E-4</v>
      </c>
      <c r="R369" s="44"/>
      <c r="S369" s="49">
        <f t="shared" si="326"/>
        <v>161.69</v>
      </c>
      <c r="T369" s="44"/>
      <c r="U369" s="44"/>
      <c r="V369" s="44"/>
      <c r="W369" s="44"/>
      <c r="X369" s="44"/>
      <c r="Y369" s="44"/>
      <c r="Z369" s="44"/>
      <c r="AA369" s="44"/>
      <c r="AB369" s="44"/>
      <c r="AC369" s="44"/>
      <c r="AD369" s="44"/>
      <c r="AE369" s="44"/>
      <c r="AF369" s="44"/>
      <c r="AG369" s="44"/>
      <c r="AH369" s="44"/>
      <c r="AI369" s="44"/>
      <c r="AJ369" s="44"/>
      <c r="AK369" s="44"/>
      <c r="AL369" s="44"/>
    </row>
    <row r="370" spans="1:38" ht="27.6" x14ac:dyDescent="0.25">
      <c r="A370" s="55"/>
      <c r="B370" s="265" t="s">
        <v>1307</v>
      </c>
      <c r="C370" s="266" t="s">
        <v>1526</v>
      </c>
      <c r="D370" s="265" t="s">
        <v>146</v>
      </c>
      <c r="E370" s="265" t="s">
        <v>1527</v>
      </c>
      <c r="F370" s="267" t="s">
        <v>168</v>
      </c>
      <c r="G370" s="277">
        <v>2</v>
      </c>
      <c r="H370" s="268">
        <v>299.64999999999998</v>
      </c>
      <c r="I370" s="287">
        <f>3.75+3.9+19.13+13.65</f>
        <v>40.43</v>
      </c>
      <c r="J370" s="268">
        <f t="shared" si="324"/>
        <v>51.29</v>
      </c>
      <c r="K370" s="292">
        <f>H370-I370</f>
        <v>259.22000000000003</v>
      </c>
      <c r="L370" s="268">
        <f t="shared" si="313"/>
        <v>328.87</v>
      </c>
      <c r="M370" s="268">
        <f t="shared" si="319"/>
        <v>380.16</v>
      </c>
      <c r="N370" s="268">
        <f t="shared" si="320"/>
        <v>102.58</v>
      </c>
      <c r="O370" s="268">
        <f t="shared" si="321"/>
        <v>657.74</v>
      </c>
      <c r="P370" s="268">
        <f t="shared" si="322"/>
        <v>760.32</v>
      </c>
      <c r="Q370" s="269">
        <f t="shared" si="325"/>
        <v>2.9999999999999997E-4</v>
      </c>
      <c r="R370" s="44"/>
      <c r="S370" s="49">
        <f t="shared" si="326"/>
        <v>599.29999999999995</v>
      </c>
      <c r="T370" s="44"/>
      <c r="U370" s="44"/>
      <c r="V370" s="44"/>
      <c r="W370" s="44"/>
      <c r="X370" s="44"/>
      <c r="Y370" s="44"/>
      <c r="Z370" s="44"/>
      <c r="AA370" s="44"/>
      <c r="AB370" s="44"/>
      <c r="AC370" s="44"/>
      <c r="AD370" s="44"/>
      <c r="AE370" s="44"/>
      <c r="AF370" s="44"/>
      <c r="AG370" s="44"/>
      <c r="AH370" s="44"/>
      <c r="AI370" s="44"/>
      <c r="AJ370" s="44"/>
      <c r="AK370" s="44"/>
      <c r="AL370" s="44"/>
    </row>
    <row r="371" spans="1:38" ht="27.6" x14ac:dyDescent="0.25">
      <c r="A371" s="55"/>
      <c r="B371" s="265" t="s">
        <v>1308</v>
      </c>
      <c r="C371" s="266" t="s">
        <v>1528</v>
      </c>
      <c r="D371" s="265" t="s">
        <v>40</v>
      </c>
      <c r="E371" s="265" t="s">
        <v>1529</v>
      </c>
      <c r="F371" s="267" t="s">
        <v>44</v>
      </c>
      <c r="G371" s="277">
        <v>2</v>
      </c>
      <c r="H371" s="268">
        <f t="shared" si="318"/>
        <v>186.06</v>
      </c>
      <c r="I371" s="287">
        <v>26.53</v>
      </c>
      <c r="J371" s="268">
        <f t="shared" si="324"/>
        <v>33.659999999999997</v>
      </c>
      <c r="K371" s="292">
        <v>159.53</v>
      </c>
      <c r="L371" s="268">
        <f t="shared" si="313"/>
        <v>202.4</v>
      </c>
      <c r="M371" s="268">
        <f t="shared" si="319"/>
        <v>236.06</v>
      </c>
      <c r="N371" s="268">
        <f t="shared" si="320"/>
        <v>67.319999999999993</v>
      </c>
      <c r="O371" s="268">
        <f t="shared" si="321"/>
        <v>404.8</v>
      </c>
      <c r="P371" s="268">
        <f t="shared" si="322"/>
        <v>472.12</v>
      </c>
      <c r="Q371" s="269">
        <f t="shared" si="325"/>
        <v>2.0000000000000001E-4</v>
      </c>
      <c r="R371" s="44"/>
      <c r="S371" s="49">
        <f t="shared" si="326"/>
        <v>372.12</v>
      </c>
      <c r="T371" s="44"/>
      <c r="U371" s="44"/>
      <c r="V371" s="44"/>
      <c r="W371" s="44"/>
      <c r="X371" s="44"/>
      <c r="Y371" s="44"/>
      <c r="Z371" s="44"/>
      <c r="AA371" s="44"/>
      <c r="AB371" s="44"/>
      <c r="AC371" s="44"/>
      <c r="AD371" s="44"/>
      <c r="AE371" s="44"/>
      <c r="AF371" s="44"/>
      <c r="AG371" s="44"/>
      <c r="AH371" s="44"/>
      <c r="AI371" s="44"/>
      <c r="AJ371" s="44"/>
      <c r="AK371" s="44"/>
      <c r="AL371" s="44"/>
    </row>
    <row r="372" spans="1:38" ht="27.6" x14ac:dyDescent="0.25">
      <c r="A372" s="55"/>
      <c r="B372" s="265" t="s">
        <v>1309</v>
      </c>
      <c r="C372" s="266" t="s">
        <v>878</v>
      </c>
      <c r="D372" s="265" t="s">
        <v>40</v>
      </c>
      <c r="E372" s="265" t="s">
        <v>879</v>
      </c>
      <c r="F372" s="267" t="s">
        <v>44</v>
      </c>
      <c r="G372" s="277">
        <v>13</v>
      </c>
      <c r="H372" s="268">
        <f t="shared" si="318"/>
        <v>14.32</v>
      </c>
      <c r="I372" s="287">
        <v>1.17</v>
      </c>
      <c r="J372" s="268">
        <f t="shared" si="324"/>
        <v>1.48</v>
      </c>
      <c r="K372" s="292">
        <v>13.15</v>
      </c>
      <c r="L372" s="268">
        <f t="shared" si="313"/>
        <v>16.68</v>
      </c>
      <c r="M372" s="268">
        <f t="shared" si="319"/>
        <v>18.16</v>
      </c>
      <c r="N372" s="268">
        <f t="shared" si="320"/>
        <v>19.239999999999998</v>
      </c>
      <c r="O372" s="268">
        <f t="shared" si="321"/>
        <v>216.84</v>
      </c>
      <c r="P372" s="268">
        <f t="shared" si="322"/>
        <v>236.08</v>
      </c>
      <c r="Q372" s="269">
        <f t="shared" si="325"/>
        <v>1E-4</v>
      </c>
      <c r="R372" s="44"/>
      <c r="S372" s="49">
        <f t="shared" si="326"/>
        <v>186.16</v>
      </c>
      <c r="T372" s="44"/>
      <c r="U372" s="44"/>
      <c r="V372" s="44"/>
      <c r="W372" s="44"/>
      <c r="X372" s="44"/>
      <c r="Y372" s="44"/>
      <c r="Z372" s="44"/>
      <c r="AA372" s="44"/>
      <c r="AB372" s="44"/>
      <c r="AC372" s="44"/>
      <c r="AD372" s="44"/>
      <c r="AE372" s="44"/>
      <c r="AF372" s="44"/>
      <c r="AG372" s="44"/>
      <c r="AH372" s="44"/>
      <c r="AI372" s="44"/>
      <c r="AJ372" s="44"/>
      <c r="AK372" s="44"/>
      <c r="AL372" s="44"/>
    </row>
    <row r="373" spans="1:38" ht="27.6" x14ac:dyDescent="0.25">
      <c r="A373" s="55"/>
      <c r="B373" s="265" t="s">
        <v>1310</v>
      </c>
      <c r="C373" s="266" t="s">
        <v>220</v>
      </c>
      <c r="D373" s="265" t="s">
        <v>40</v>
      </c>
      <c r="E373" s="265" t="s">
        <v>221</v>
      </c>
      <c r="F373" s="267" t="s">
        <v>44</v>
      </c>
      <c r="G373" s="277">
        <v>35</v>
      </c>
      <c r="H373" s="268">
        <f t="shared" si="318"/>
        <v>14.87</v>
      </c>
      <c r="I373" s="287">
        <v>1.59</v>
      </c>
      <c r="J373" s="268">
        <f t="shared" si="324"/>
        <v>2.02</v>
      </c>
      <c r="K373" s="292">
        <v>13.28</v>
      </c>
      <c r="L373" s="268">
        <f t="shared" si="313"/>
        <v>16.850000000000001</v>
      </c>
      <c r="M373" s="268">
        <f t="shared" si="319"/>
        <v>18.87</v>
      </c>
      <c r="N373" s="268">
        <f t="shared" si="320"/>
        <v>70.7</v>
      </c>
      <c r="O373" s="268">
        <f t="shared" si="321"/>
        <v>589.75</v>
      </c>
      <c r="P373" s="268">
        <f t="shared" si="322"/>
        <v>660.45</v>
      </c>
      <c r="Q373" s="269">
        <f t="shared" si="325"/>
        <v>2.9999999999999997E-4</v>
      </c>
      <c r="R373" s="44"/>
      <c r="S373" s="49">
        <f t="shared" si="326"/>
        <v>520.45000000000005</v>
      </c>
      <c r="T373" s="44"/>
      <c r="U373" s="44"/>
      <c r="V373" s="44"/>
      <c r="W373" s="44"/>
      <c r="X373" s="44"/>
      <c r="Y373" s="44"/>
      <c r="Z373" s="44"/>
      <c r="AA373" s="44"/>
      <c r="AB373" s="44"/>
      <c r="AC373" s="44"/>
      <c r="AD373" s="44"/>
      <c r="AE373" s="44"/>
      <c r="AF373" s="44"/>
      <c r="AG373" s="44"/>
      <c r="AH373" s="44"/>
      <c r="AI373" s="44"/>
      <c r="AJ373" s="44"/>
      <c r="AK373" s="44"/>
      <c r="AL373" s="44"/>
    </row>
    <row r="374" spans="1:38" ht="27.6" x14ac:dyDescent="0.25">
      <c r="A374" s="55"/>
      <c r="B374" s="265" t="s">
        <v>1311</v>
      </c>
      <c r="C374" s="266" t="s">
        <v>222</v>
      </c>
      <c r="D374" s="265" t="s">
        <v>40</v>
      </c>
      <c r="E374" s="265" t="s">
        <v>223</v>
      </c>
      <c r="F374" s="267" t="s">
        <v>44</v>
      </c>
      <c r="G374" s="277">
        <v>1</v>
      </c>
      <c r="H374" s="268">
        <f t="shared" si="318"/>
        <v>16.059999999999999</v>
      </c>
      <c r="I374" s="287">
        <v>2.2400000000000002</v>
      </c>
      <c r="J374" s="268">
        <f t="shared" si="324"/>
        <v>2.84</v>
      </c>
      <c r="K374" s="292">
        <v>13.82</v>
      </c>
      <c r="L374" s="268">
        <f t="shared" si="313"/>
        <v>17.53</v>
      </c>
      <c r="M374" s="268">
        <f t="shared" si="319"/>
        <v>20.37</v>
      </c>
      <c r="N374" s="268">
        <f t="shared" si="320"/>
        <v>2.84</v>
      </c>
      <c r="O374" s="268">
        <f t="shared" si="321"/>
        <v>17.53</v>
      </c>
      <c r="P374" s="268">
        <f t="shared" si="322"/>
        <v>20.37</v>
      </c>
      <c r="Q374" s="269">
        <f t="shared" si="325"/>
        <v>0</v>
      </c>
      <c r="R374" s="44"/>
      <c r="S374" s="49">
        <f t="shared" si="326"/>
        <v>16.059999999999999</v>
      </c>
      <c r="T374" s="44"/>
      <c r="U374" s="44"/>
      <c r="V374" s="44"/>
      <c r="W374" s="44"/>
      <c r="X374" s="44"/>
      <c r="Y374" s="44"/>
      <c r="Z374" s="44"/>
      <c r="AA374" s="44"/>
      <c r="AB374" s="44"/>
      <c r="AC374" s="44"/>
      <c r="AD374" s="44"/>
      <c r="AE374" s="44"/>
      <c r="AF374" s="44"/>
      <c r="AG374" s="44"/>
      <c r="AH374" s="44"/>
      <c r="AI374" s="44"/>
      <c r="AJ374" s="44"/>
      <c r="AK374" s="44"/>
      <c r="AL374" s="44"/>
    </row>
    <row r="375" spans="1:38" x14ac:dyDescent="0.25">
      <c r="A375" s="55"/>
      <c r="B375" s="265" t="s">
        <v>1312</v>
      </c>
      <c r="C375" s="266">
        <v>93661</v>
      </c>
      <c r="D375" s="265" t="s">
        <v>40</v>
      </c>
      <c r="E375" s="265" t="s">
        <v>875</v>
      </c>
      <c r="F375" s="267" t="s">
        <v>44</v>
      </c>
      <c r="G375" s="277">
        <v>40</v>
      </c>
      <c r="H375" s="268">
        <f t="shared" si="318"/>
        <v>72.83</v>
      </c>
      <c r="I375" s="287">
        <v>3.21</v>
      </c>
      <c r="J375" s="268">
        <f t="shared" si="324"/>
        <v>4.07</v>
      </c>
      <c r="K375" s="292">
        <v>69.62</v>
      </c>
      <c r="L375" s="268">
        <f t="shared" si="313"/>
        <v>88.33</v>
      </c>
      <c r="M375" s="268">
        <f t="shared" si="319"/>
        <v>92.4</v>
      </c>
      <c r="N375" s="268">
        <f t="shared" si="320"/>
        <v>162.80000000000001</v>
      </c>
      <c r="O375" s="268">
        <f t="shared" si="321"/>
        <v>3533.2</v>
      </c>
      <c r="P375" s="268">
        <f t="shared" si="322"/>
        <v>3696</v>
      </c>
      <c r="Q375" s="269">
        <f t="shared" si="325"/>
        <v>1.5E-3</v>
      </c>
      <c r="R375" s="44"/>
      <c r="S375" s="49">
        <f t="shared" si="326"/>
        <v>2913.2</v>
      </c>
      <c r="T375" s="44"/>
      <c r="U375" s="44"/>
      <c r="V375" s="44"/>
      <c r="W375" s="44"/>
      <c r="X375" s="44"/>
      <c r="Y375" s="44"/>
      <c r="Z375" s="44"/>
      <c r="AA375" s="44"/>
      <c r="AB375" s="44"/>
      <c r="AC375" s="44"/>
      <c r="AD375" s="44"/>
      <c r="AE375" s="44"/>
      <c r="AF375" s="44"/>
      <c r="AG375" s="44"/>
      <c r="AH375" s="44"/>
      <c r="AI375" s="44"/>
      <c r="AJ375" s="44"/>
      <c r="AK375" s="44"/>
      <c r="AL375" s="44"/>
    </row>
    <row r="376" spans="1:38" x14ac:dyDescent="0.25">
      <c r="A376" s="55"/>
      <c r="B376" s="265" t="s">
        <v>1313</v>
      </c>
      <c r="C376" s="266">
        <v>93662</v>
      </c>
      <c r="D376" s="265" t="s">
        <v>40</v>
      </c>
      <c r="E376" s="265" t="s">
        <v>217</v>
      </c>
      <c r="F376" s="267" t="s">
        <v>44</v>
      </c>
      <c r="G376" s="277">
        <v>5</v>
      </c>
      <c r="H376" s="268">
        <f t="shared" si="318"/>
        <v>75.209999999999994</v>
      </c>
      <c r="I376" s="287">
        <v>4.4800000000000004</v>
      </c>
      <c r="J376" s="268">
        <f t="shared" si="324"/>
        <v>5.68</v>
      </c>
      <c r="K376" s="292">
        <v>70.73</v>
      </c>
      <c r="L376" s="268">
        <f t="shared" si="313"/>
        <v>89.74</v>
      </c>
      <c r="M376" s="268">
        <f t="shared" si="319"/>
        <v>95.42</v>
      </c>
      <c r="N376" s="268">
        <f t="shared" si="320"/>
        <v>28.4</v>
      </c>
      <c r="O376" s="268">
        <f t="shared" si="321"/>
        <v>448.7</v>
      </c>
      <c r="P376" s="268">
        <f t="shared" si="322"/>
        <v>477.1</v>
      </c>
      <c r="Q376" s="269">
        <f t="shared" si="325"/>
        <v>2.0000000000000001E-4</v>
      </c>
      <c r="R376" s="44"/>
      <c r="S376" s="49">
        <f t="shared" si="326"/>
        <v>376.05</v>
      </c>
      <c r="T376" s="44"/>
      <c r="U376" s="44"/>
      <c r="V376" s="44"/>
      <c r="W376" s="44"/>
      <c r="X376" s="44"/>
      <c r="Y376" s="44"/>
      <c r="Z376" s="44"/>
      <c r="AA376" s="44"/>
      <c r="AB376" s="44"/>
      <c r="AC376" s="44"/>
      <c r="AD376" s="44"/>
      <c r="AE376" s="44"/>
      <c r="AF376" s="44"/>
      <c r="AG376" s="44"/>
      <c r="AH376" s="44"/>
      <c r="AI376" s="44"/>
      <c r="AJ376" s="44"/>
      <c r="AK376" s="44"/>
      <c r="AL376" s="44"/>
    </row>
    <row r="377" spans="1:38" x14ac:dyDescent="0.25">
      <c r="A377" s="55"/>
      <c r="B377" s="265" t="s">
        <v>1314</v>
      </c>
      <c r="C377" s="266" t="s">
        <v>876</v>
      </c>
      <c r="D377" s="265" t="s">
        <v>40</v>
      </c>
      <c r="E377" s="265" t="s">
        <v>877</v>
      </c>
      <c r="F377" s="267" t="s">
        <v>44</v>
      </c>
      <c r="G377" s="277">
        <v>2</v>
      </c>
      <c r="H377" s="268">
        <f t="shared" si="318"/>
        <v>78.040000000000006</v>
      </c>
      <c r="I377" s="287">
        <v>6.17</v>
      </c>
      <c r="J377" s="268">
        <f t="shared" si="324"/>
        <v>7.83</v>
      </c>
      <c r="K377" s="292">
        <v>71.87</v>
      </c>
      <c r="L377" s="268">
        <f t="shared" si="313"/>
        <v>91.18</v>
      </c>
      <c r="M377" s="268">
        <f t="shared" si="319"/>
        <v>99.01</v>
      </c>
      <c r="N377" s="268">
        <f t="shared" si="320"/>
        <v>15.66</v>
      </c>
      <c r="O377" s="268">
        <f t="shared" si="321"/>
        <v>182.36</v>
      </c>
      <c r="P377" s="268">
        <f t="shared" si="322"/>
        <v>198.02</v>
      </c>
      <c r="Q377" s="269">
        <f t="shared" si="325"/>
        <v>1E-4</v>
      </c>
      <c r="R377" s="44"/>
      <c r="S377" s="49">
        <f t="shared" si="326"/>
        <v>156.08000000000001</v>
      </c>
      <c r="T377" s="44"/>
      <c r="U377" s="44"/>
      <c r="V377" s="44"/>
      <c r="W377" s="44"/>
      <c r="X377" s="44"/>
      <c r="Y377" s="44"/>
      <c r="Z377" s="44"/>
      <c r="AA377" s="44"/>
      <c r="AB377" s="44"/>
      <c r="AC377" s="44"/>
      <c r="AD377" s="44"/>
      <c r="AE377" s="44"/>
      <c r="AF377" s="44"/>
      <c r="AG377" s="44"/>
      <c r="AH377" s="44"/>
      <c r="AI377" s="44"/>
      <c r="AJ377" s="44"/>
      <c r="AK377" s="44"/>
      <c r="AL377" s="44"/>
    </row>
    <row r="378" spans="1:38" x14ac:dyDescent="0.25">
      <c r="A378" s="55"/>
      <c r="B378" s="265" t="s">
        <v>1315</v>
      </c>
      <c r="C378" s="266" t="s">
        <v>1530</v>
      </c>
      <c r="D378" s="265" t="s">
        <v>40</v>
      </c>
      <c r="E378" s="265" t="s">
        <v>1531</v>
      </c>
      <c r="F378" s="267" t="s">
        <v>44</v>
      </c>
      <c r="G378" s="277">
        <v>2</v>
      </c>
      <c r="H378" s="268">
        <f t="shared" si="318"/>
        <v>71.739999999999995</v>
      </c>
      <c r="I378" s="287">
        <v>2.37</v>
      </c>
      <c r="J378" s="268">
        <f t="shared" si="324"/>
        <v>3.01</v>
      </c>
      <c r="K378" s="292">
        <v>69.37</v>
      </c>
      <c r="L378" s="268">
        <f t="shared" si="313"/>
        <v>88.01</v>
      </c>
      <c r="M378" s="268">
        <f t="shared" si="319"/>
        <v>91.02</v>
      </c>
      <c r="N378" s="268">
        <f t="shared" si="320"/>
        <v>6.02</v>
      </c>
      <c r="O378" s="268">
        <f t="shared" si="321"/>
        <v>176.02</v>
      </c>
      <c r="P378" s="268">
        <f t="shared" si="322"/>
        <v>182.04</v>
      </c>
      <c r="Q378" s="269">
        <f t="shared" si="325"/>
        <v>1E-4</v>
      </c>
      <c r="R378" s="44"/>
      <c r="S378" s="49">
        <f t="shared" si="326"/>
        <v>143.47999999999999</v>
      </c>
      <c r="T378" s="44"/>
      <c r="U378" s="44"/>
      <c r="V378" s="44"/>
      <c r="W378" s="44"/>
      <c r="X378" s="44"/>
      <c r="Y378" s="44"/>
      <c r="Z378" s="44"/>
      <c r="AA378" s="44"/>
      <c r="AB378" s="44"/>
      <c r="AC378" s="44"/>
      <c r="AD378" s="44"/>
      <c r="AE378" s="44"/>
      <c r="AF378" s="44"/>
      <c r="AG378" s="44"/>
      <c r="AH378" s="44"/>
      <c r="AI378" s="44"/>
      <c r="AJ378" s="44"/>
      <c r="AK378" s="44"/>
      <c r="AL378" s="44"/>
    </row>
    <row r="379" spans="1:38" x14ac:dyDescent="0.25">
      <c r="A379" s="55"/>
      <c r="B379" s="265" t="s">
        <v>1316</v>
      </c>
      <c r="C379" s="266" t="s">
        <v>874</v>
      </c>
      <c r="D379" s="265" t="s">
        <v>40</v>
      </c>
      <c r="E379" s="265" t="s">
        <v>875</v>
      </c>
      <c r="F379" s="267" t="s">
        <v>44</v>
      </c>
      <c r="G379" s="277">
        <v>40</v>
      </c>
      <c r="H379" s="268">
        <f t="shared" si="318"/>
        <v>72.83</v>
      </c>
      <c r="I379" s="287">
        <v>3.21</v>
      </c>
      <c r="J379" s="268">
        <f t="shared" si="324"/>
        <v>4.07</v>
      </c>
      <c r="K379" s="292">
        <v>69.62</v>
      </c>
      <c r="L379" s="268">
        <f t="shared" si="313"/>
        <v>88.33</v>
      </c>
      <c r="M379" s="268">
        <f t="shared" si="319"/>
        <v>92.4</v>
      </c>
      <c r="N379" s="268">
        <f t="shared" si="320"/>
        <v>162.80000000000001</v>
      </c>
      <c r="O379" s="268">
        <f t="shared" si="321"/>
        <v>3533.2</v>
      </c>
      <c r="P379" s="268">
        <f t="shared" si="322"/>
        <v>3696</v>
      </c>
      <c r="Q379" s="269">
        <f t="shared" si="325"/>
        <v>1.5E-3</v>
      </c>
      <c r="R379" s="44"/>
      <c r="S379" s="49">
        <f t="shared" si="326"/>
        <v>2913.2</v>
      </c>
      <c r="T379" s="44"/>
      <c r="U379" s="44"/>
      <c r="V379" s="44"/>
      <c r="W379" s="44"/>
      <c r="X379" s="44"/>
      <c r="Y379" s="44"/>
      <c r="Z379" s="44"/>
      <c r="AA379" s="44"/>
      <c r="AB379" s="44"/>
      <c r="AC379" s="44"/>
      <c r="AD379" s="44"/>
      <c r="AE379" s="44"/>
      <c r="AF379" s="44"/>
      <c r="AG379" s="44"/>
      <c r="AH379" s="44"/>
      <c r="AI379" s="44"/>
      <c r="AJ379" s="44"/>
      <c r="AK379" s="44"/>
      <c r="AL379" s="44"/>
    </row>
    <row r="380" spans="1:38" x14ac:dyDescent="0.25">
      <c r="A380" s="55"/>
      <c r="B380" s="265" t="s">
        <v>1317</v>
      </c>
      <c r="C380" s="266" t="s">
        <v>218</v>
      </c>
      <c r="D380" s="265" t="s">
        <v>40</v>
      </c>
      <c r="E380" s="265" t="s">
        <v>219</v>
      </c>
      <c r="F380" s="267" t="s">
        <v>44</v>
      </c>
      <c r="G380" s="277">
        <v>3</v>
      </c>
      <c r="H380" s="268">
        <f t="shared" si="318"/>
        <v>81.19</v>
      </c>
      <c r="I380" s="287">
        <v>9.15</v>
      </c>
      <c r="J380" s="268">
        <f t="shared" si="324"/>
        <v>11.61</v>
      </c>
      <c r="K380" s="292">
        <v>72.040000000000006</v>
      </c>
      <c r="L380" s="268">
        <f t="shared" si="313"/>
        <v>91.4</v>
      </c>
      <c r="M380" s="268">
        <f t="shared" si="319"/>
        <v>103.01</v>
      </c>
      <c r="N380" s="268">
        <f t="shared" si="320"/>
        <v>34.83</v>
      </c>
      <c r="O380" s="268">
        <f t="shared" si="321"/>
        <v>274.2</v>
      </c>
      <c r="P380" s="268">
        <f t="shared" si="322"/>
        <v>309.02999999999997</v>
      </c>
      <c r="Q380" s="269">
        <f t="shared" si="325"/>
        <v>1E-4</v>
      </c>
      <c r="R380" s="44"/>
      <c r="S380" s="49">
        <f t="shared" si="326"/>
        <v>243.57</v>
      </c>
      <c r="T380" s="44"/>
      <c r="U380" s="44"/>
      <c r="V380" s="44"/>
      <c r="W380" s="44"/>
      <c r="X380" s="44"/>
      <c r="Y380" s="44"/>
      <c r="Z380" s="44"/>
      <c r="AA380" s="44"/>
      <c r="AB380" s="44"/>
      <c r="AC380" s="44"/>
      <c r="AD380" s="44"/>
      <c r="AE380" s="44"/>
      <c r="AF380" s="44"/>
      <c r="AG380" s="44"/>
      <c r="AH380" s="44"/>
      <c r="AI380" s="44"/>
      <c r="AJ380" s="44"/>
      <c r="AK380" s="44"/>
      <c r="AL380" s="44"/>
    </row>
    <row r="381" spans="1:38" x14ac:dyDescent="0.25">
      <c r="A381" s="55"/>
      <c r="B381" s="265" t="s">
        <v>1318</v>
      </c>
      <c r="C381" s="266" t="s">
        <v>1532</v>
      </c>
      <c r="D381" s="265" t="s">
        <v>146</v>
      </c>
      <c r="E381" s="265" t="s">
        <v>1533</v>
      </c>
      <c r="F381" s="267" t="s">
        <v>168</v>
      </c>
      <c r="G381" s="277">
        <v>2</v>
      </c>
      <c r="H381" s="268">
        <v>83.13</v>
      </c>
      <c r="I381" s="287">
        <f>2.25+2.34+11.48+8.19</f>
        <v>24.26</v>
      </c>
      <c r="J381" s="268">
        <f t="shared" si="324"/>
        <v>30.78</v>
      </c>
      <c r="K381" s="292">
        <f>H381-I381</f>
        <v>58.87</v>
      </c>
      <c r="L381" s="268">
        <f t="shared" si="313"/>
        <v>74.69</v>
      </c>
      <c r="M381" s="268">
        <f t="shared" si="319"/>
        <v>105.47</v>
      </c>
      <c r="N381" s="268">
        <f t="shared" si="320"/>
        <v>61.56</v>
      </c>
      <c r="O381" s="268">
        <f t="shared" si="321"/>
        <v>149.38</v>
      </c>
      <c r="P381" s="268">
        <f t="shared" si="322"/>
        <v>210.94</v>
      </c>
      <c r="Q381" s="269">
        <f t="shared" si="325"/>
        <v>1E-4</v>
      </c>
      <c r="R381" s="44"/>
      <c r="S381" s="49">
        <f t="shared" si="326"/>
        <v>166.26</v>
      </c>
      <c r="T381" s="44"/>
      <c r="U381" s="44"/>
      <c r="V381" s="44"/>
      <c r="W381" s="44"/>
      <c r="X381" s="44"/>
      <c r="Y381" s="44"/>
      <c r="Z381" s="44"/>
      <c r="AA381" s="44"/>
      <c r="AB381" s="44"/>
      <c r="AC381" s="44"/>
      <c r="AD381" s="44"/>
      <c r="AE381" s="44"/>
      <c r="AF381" s="44"/>
      <c r="AG381" s="44"/>
      <c r="AH381" s="44"/>
      <c r="AI381" s="44"/>
      <c r="AJ381" s="44"/>
      <c r="AK381" s="44"/>
      <c r="AL381" s="44"/>
    </row>
    <row r="382" spans="1:38" ht="27.6" x14ac:dyDescent="0.25">
      <c r="A382" s="55"/>
      <c r="B382" s="265" t="s">
        <v>1319</v>
      </c>
      <c r="C382" s="266" t="s">
        <v>705</v>
      </c>
      <c r="D382" s="265" t="s">
        <v>40</v>
      </c>
      <c r="E382" s="265" t="s">
        <v>706</v>
      </c>
      <c r="F382" s="267" t="s">
        <v>44</v>
      </c>
      <c r="G382" s="277">
        <v>2</v>
      </c>
      <c r="H382" s="268">
        <f t="shared" si="318"/>
        <v>520.39</v>
      </c>
      <c r="I382" s="287">
        <v>44.84</v>
      </c>
      <c r="J382" s="268">
        <f t="shared" si="324"/>
        <v>56.89</v>
      </c>
      <c r="K382" s="292">
        <v>475.55</v>
      </c>
      <c r="L382" s="268">
        <f t="shared" si="313"/>
        <v>603.33000000000004</v>
      </c>
      <c r="M382" s="268">
        <f t="shared" si="319"/>
        <v>660.22</v>
      </c>
      <c r="N382" s="268">
        <f t="shared" si="320"/>
        <v>113.78</v>
      </c>
      <c r="O382" s="268">
        <f t="shared" si="321"/>
        <v>1206.6600000000001</v>
      </c>
      <c r="P382" s="268">
        <f t="shared" si="322"/>
        <v>1320.44</v>
      </c>
      <c r="Q382" s="269">
        <f t="shared" si="325"/>
        <v>5.0000000000000001E-4</v>
      </c>
      <c r="R382" s="44"/>
      <c r="S382" s="49">
        <f t="shared" si="326"/>
        <v>1040.78</v>
      </c>
      <c r="T382" s="44"/>
      <c r="U382" s="44"/>
      <c r="V382" s="44"/>
      <c r="W382" s="44"/>
      <c r="X382" s="44"/>
      <c r="Y382" s="44"/>
      <c r="Z382" s="44"/>
      <c r="AA382" s="44"/>
      <c r="AB382" s="44"/>
      <c r="AC382" s="44"/>
      <c r="AD382" s="44"/>
      <c r="AE382" s="44"/>
      <c r="AF382" s="44"/>
      <c r="AG382" s="44"/>
      <c r="AH382" s="44"/>
      <c r="AI382" s="44"/>
      <c r="AJ382" s="44"/>
      <c r="AK382" s="44"/>
      <c r="AL382" s="44"/>
    </row>
    <row r="383" spans="1:38" ht="27.6" x14ac:dyDescent="0.25">
      <c r="A383" s="55"/>
      <c r="B383" s="265" t="s">
        <v>1320</v>
      </c>
      <c r="C383" s="266" t="s">
        <v>1534</v>
      </c>
      <c r="D383" s="265" t="s">
        <v>584</v>
      </c>
      <c r="E383" s="265" t="s">
        <v>1535</v>
      </c>
      <c r="F383" s="267" t="s">
        <v>585</v>
      </c>
      <c r="G383" s="277">
        <v>1</v>
      </c>
      <c r="H383" s="268">
        <v>504.57</v>
      </c>
      <c r="I383" s="287">
        <v>66.63</v>
      </c>
      <c r="J383" s="268">
        <f t="shared" si="324"/>
        <v>84.53</v>
      </c>
      <c r="K383" s="292">
        <f t="shared" ref="K383:K397" si="327">H383-I383</f>
        <v>437.94</v>
      </c>
      <c r="L383" s="268">
        <f t="shared" si="313"/>
        <v>555.61</v>
      </c>
      <c r="M383" s="268">
        <f t="shared" si="319"/>
        <v>640.14</v>
      </c>
      <c r="N383" s="268">
        <f t="shared" si="320"/>
        <v>84.53</v>
      </c>
      <c r="O383" s="268">
        <f t="shared" si="321"/>
        <v>555.61</v>
      </c>
      <c r="P383" s="268">
        <f t="shared" si="322"/>
        <v>640.14</v>
      </c>
      <c r="Q383" s="269">
        <f t="shared" si="325"/>
        <v>2.9999999999999997E-4</v>
      </c>
      <c r="R383" s="44"/>
      <c r="S383" s="49">
        <f t="shared" si="326"/>
        <v>504.57</v>
      </c>
      <c r="T383" s="44"/>
      <c r="U383" s="44"/>
      <c r="V383" s="44"/>
      <c r="W383" s="44"/>
      <c r="X383" s="44"/>
      <c r="Y383" s="44"/>
      <c r="Z383" s="44"/>
      <c r="AA383" s="44"/>
      <c r="AB383" s="44"/>
      <c r="AC383" s="44"/>
      <c r="AD383" s="44"/>
      <c r="AE383" s="44"/>
      <c r="AF383" s="44"/>
      <c r="AG383" s="44"/>
      <c r="AH383" s="44"/>
      <c r="AI383" s="44"/>
      <c r="AJ383" s="44"/>
      <c r="AK383" s="44"/>
      <c r="AL383" s="44"/>
    </row>
    <row r="384" spans="1:38" x14ac:dyDescent="0.25">
      <c r="A384" s="55"/>
      <c r="B384" s="265" t="s">
        <v>1321</v>
      </c>
      <c r="C384" s="266" t="s">
        <v>707</v>
      </c>
      <c r="D384" s="265" t="s">
        <v>51</v>
      </c>
      <c r="E384" s="265" t="s">
        <v>708</v>
      </c>
      <c r="F384" s="267" t="s">
        <v>44</v>
      </c>
      <c r="G384" s="277">
        <v>18</v>
      </c>
      <c r="H384" s="268">
        <v>302.79000000000002</v>
      </c>
      <c r="I384" s="287">
        <f>6.68+8.49</f>
        <v>15.17</v>
      </c>
      <c r="J384" s="268">
        <f t="shared" si="324"/>
        <v>19.25</v>
      </c>
      <c r="K384" s="292">
        <f t="shared" si="327"/>
        <v>287.62</v>
      </c>
      <c r="L384" s="268">
        <f t="shared" si="313"/>
        <v>364.9</v>
      </c>
      <c r="M384" s="268">
        <f t="shared" si="319"/>
        <v>384.15</v>
      </c>
      <c r="N384" s="268">
        <f t="shared" si="320"/>
        <v>346.5</v>
      </c>
      <c r="O384" s="268">
        <f t="shared" si="321"/>
        <v>6568.2</v>
      </c>
      <c r="P384" s="268">
        <f t="shared" si="322"/>
        <v>6914.7</v>
      </c>
      <c r="Q384" s="269">
        <f t="shared" si="325"/>
        <v>2.7000000000000001E-3</v>
      </c>
      <c r="R384" s="44"/>
      <c r="S384" s="49">
        <f t="shared" si="326"/>
        <v>5450.22</v>
      </c>
      <c r="T384" s="44"/>
      <c r="U384" s="44"/>
      <c r="V384" s="44"/>
      <c r="W384" s="44"/>
      <c r="X384" s="44"/>
      <c r="Y384" s="44"/>
      <c r="Z384" s="44"/>
      <c r="AA384" s="44"/>
      <c r="AB384" s="44"/>
      <c r="AC384" s="44"/>
      <c r="AD384" s="44"/>
      <c r="AE384" s="44"/>
      <c r="AF384" s="44"/>
      <c r="AG384" s="44"/>
      <c r="AH384" s="44"/>
      <c r="AI384" s="44"/>
      <c r="AJ384" s="44"/>
      <c r="AK384" s="44"/>
      <c r="AL384" s="44"/>
    </row>
    <row r="385" spans="1:38" ht="27.6" x14ac:dyDescent="0.25">
      <c r="A385" s="55"/>
      <c r="B385" s="265" t="s">
        <v>1322</v>
      </c>
      <c r="C385" s="266" t="s">
        <v>1125</v>
      </c>
      <c r="D385" s="265" t="s">
        <v>199</v>
      </c>
      <c r="E385" s="265" t="s">
        <v>1126</v>
      </c>
      <c r="F385" s="267" t="s">
        <v>168</v>
      </c>
      <c r="G385" s="277">
        <v>8</v>
      </c>
      <c r="H385" s="268">
        <v>697.22</v>
      </c>
      <c r="I385" s="287">
        <f>9.03+19.69</f>
        <v>28.72</v>
      </c>
      <c r="J385" s="268">
        <f t="shared" si="324"/>
        <v>36.44</v>
      </c>
      <c r="K385" s="292">
        <f t="shared" si="327"/>
        <v>668.5</v>
      </c>
      <c r="L385" s="268">
        <f t="shared" si="313"/>
        <v>848.13</v>
      </c>
      <c r="M385" s="268">
        <f t="shared" si="319"/>
        <v>884.57</v>
      </c>
      <c r="N385" s="268">
        <f t="shared" si="320"/>
        <v>291.52</v>
      </c>
      <c r="O385" s="268">
        <f t="shared" si="321"/>
        <v>6785.04</v>
      </c>
      <c r="P385" s="268">
        <f t="shared" si="322"/>
        <v>7076.56</v>
      </c>
      <c r="Q385" s="269">
        <f t="shared" si="325"/>
        <v>2.8E-3</v>
      </c>
      <c r="R385" s="44"/>
      <c r="S385" s="49">
        <f t="shared" si="326"/>
        <v>5577.76</v>
      </c>
      <c r="T385" s="44"/>
      <c r="U385" s="44"/>
      <c r="V385" s="44"/>
      <c r="W385" s="44"/>
      <c r="X385" s="44"/>
      <c r="Y385" s="44"/>
      <c r="Z385" s="44"/>
      <c r="AA385" s="44"/>
      <c r="AB385" s="44"/>
      <c r="AC385" s="44"/>
      <c r="AD385" s="44"/>
      <c r="AE385" s="44"/>
      <c r="AF385" s="44"/>
      <c r="AG385" s="44"/>
      <c r="AH385" s="44"/>
      <c r="AI385" s="44"/>
      <c r="AJ385" s="44"/>
      <c r="AK385" s="44"/>
      <c r="AL385" s="44"/>
    </row>
    <row r="386" spans="1:38" x14ac:dyDescent="0.25">
      <c r="A386" s="55"/>
      <c r="B386" s="265" t="s">
        <v>1323</v>
      </c>
      <c r="C386" s="266" t="s">
        <v>1536</v>
      </c>
      <c r="D386" s="265" t="s">
        <v>584</v>
      </c>
      <c r="E386" s="265" t="s">
        <v>1537</v>
      </c>
      <c r="F386" s="267" t="s">
        <v>585</v>
      </c>
      <c r="G386" s="277">
        <v>11</v>
      </c>
      <c r="H386" s="268">
        <v>134.9</v>
      </c>
      <c r="I386" s="287">
        <v>26.65</v>
      </c>
      <c r="J386" s="268">
        <f t="shared" si="324"/>
        <v>33.81</v>
      </c>
      <c r="K386" s="292">
        <f t="shared" si="327"/>
        <v>108.25</v>
      </c>
      <c r="L386" s="268">
        <f t="shared" si="313"/>
        <v>137.34</v>
      </c>
      <c r="M386" s="268">
        <f t="shared" si="319"/>
        <v>171.15</v>
      </c>
      <c r="N386" s="268">
        <f t="shared" si="320"/>
        <v>371.91</v>
      </c>
      <c r="O386" s="268">
        <f t="shared" si="321"/>
        <v>1510.74</v>
      </c>
      <c r="P386" s="268">
        <f t="shared" si="322"/>
        <v>1882.65</v>
      </c>
      <c r="Q386" s="269">
        <f t="shared" si="325"/>
        <v>6.9999999999999999E-4</v>
      </c>
      <c r="R386" s="44"/>
      <c r="S386" s="49">
        <f t="shared" si="326"/>
        <v>1483.9</v>
      </c>
      <c r="T386" s="44"/>
      <c r="U386" s="44"/>
      <c r="V386" s="44"/>
      <c r="W386" s="44"/>
      <c r="X386" s="44"/>
      <c r="Y386" s="44"/>
      <c r="Z386" s="44"/>
      <c r="AA386" s="44"/>
      <c r="AB386" s="44"/>
      <c r="AC386" s="44"/>
      <c r="AD386" s="44"/>
      <c r="AE386" s="44"/>
      <c r="AF386" s="44"/>
      <c r="AG386" s="44"/>
      <c r="AH386" s="44"/>
      <c r="AI386" s="44"/>
      <c r="AJ386" s="44"/>
      <c r="AK386" s="44"/>
      <c r="AL386" s="44"/>
    </row>
    <row r="387" spans="1:38" x14ac:dyDescent="0.25">
      <c r="A387" s="55"/>
      <c r="B387" s="265" t="s">
        <v>1324</v>
      </c>
      <c r="C387" s="266" t="s">
        <v>1538</v>
      </c>
      <c r="D387" s="265" t="s">
        <v>584</v>
      </c>
      <c r="E387" s="265" t="s">
        <v>1539</v>
      </c>
      <c r="F387" s="267" t="s">
        <v>585</v>
      </c>
      <c r="G387" s="277">
        <v>4</v>
      </c>
      <c r="H387" s="268">
        <v>146.13</v>
      </c>
      <c r="I387" s="287">
        <v>26.65</v>
      </c>
      <c r="J387" s="268">
        <f t="shared" si="324"/>
        <v>33.81</v>
      </c>
      <c r="K387" s="292">
        <f t="shared" si="327"/>
        <v>119.48</v>
      </c>
      <c r="L387" s="268">
        <f t="shared" si="313"/>
        <v>151.58000000000001</v>
      </c>
      <c r="M387" s="268">
        <f t="shared" si="319"/>
        <v>185.39</v>
      </c>
      <c r="N387" s="268">
        <f t="shared" si="320"/>
        <v>135.24</v>
      </c>
      <c r="O387" s="268">
        <f t="shared" si="321"/>
        <v>606.32000000000005</v>
      </c>
      <c r="P387" s="268">
        <f t="shared" si="322"/>
        <v>741.56</v>
      </c>
      <c r="Q387" s="269">
        <f t="shared" si="325"/>
        <v>2.9999999999999997E-4</v>
      </c>
      <c r="R387" s="44"/>
      <c r="S387" s="49">
        <f t="shared" si="326"/>
        <v>584.52</v>
      </c>
      <c r="T387" s="44"/>
      <c r="U387" s="44"/>
      <c r="V387" s="44"/>
      <c r="W387" s="44"/>
      <c r="X387" s="44"/>
      <c r="Y387" s="44"/>
      <c r="Z387" s="44"/>
      <c r="AA387" s="44"/>
      <c r="AB387" s="44"/>
      <c r="AC387" s="44"/>
      <c r="AD387" s="44"/>
      <c r="AE387" s="44"/>
      <c r="AF387" s="44"/>
      <c r="AG387" s="44"/>
      <c r="AH387" s="44"/>
      <c r="AI387" s="44"/>
      <c r="AJ387" s="44"/>
      <c r="AK387" s="44"/>
      <c r="AL387" s="44"/>
    </row>
    <row r="388" spans="1:38" x14ac:dyDescent="0.25">
      <c r="A388" s="55"/>
      <c r="B388" s="265" t="s">
        <v>1325</v>
      </c>
      <c r="C388" s="266" t="s">
        <v>1540</v>
      </c>
      <c r="D388" s="265" t="s">
        <v>51</v>
      </c>
      <c r="E388" s="265" t="s">
        <v>1541</v>
      </c>
      <c r="F388" s="267" t="s">
        <v>44</v>
      </c>
      <c r="G388" s="277">
        <v>8</v>
      </c>
      <c r="H388" s="268">
        <v>12.19</v>
      </c>
      <c r="I388" s="287">
        <f>2.01+2.55</f>
        <v>4.5599999999999996</v>
      </c>
      <c r="J388" s="268">
        <f t="shared" si="324"/>
        <v>5.79</v>
      </c>
      <c r="K388" s="292">
        <f t="shared" si="327"/>
        <v>7.63</v>
      </c>
      <c r="L388" s="268">
        <f t="shared" si="313"/>
        <v>9.68</v>
      </c>
      <c r="M388" s="268">
        <f t="shared" si="319"/>
        <v>15.47</v>
      </c>
      <c r="N388" s="268">
        <f t="shared" si="320"/>
        <v>46.32</v>
      </c>
      <c r="O388" s="268">
        <f t="shared" si="321"/>
        <v>77.44</v>
      </c>
      <c r="P388" s="268">
        <f t="shared" si="322"/>
        <v>123.76</v>
      </c>
      <c r="Q388" s="269">
        <f t="shared" si="325"/>
        <v>0</v>
      </c>
      <c r="R388" s="44"/>
      <c r="S388" s="49">
        <f t="shared" si="326"/>
        <v>97.52</v>
      </c>
      <c r="T388" s="44"/>
      <c r="U388" s="44"/>
      <c r="V388" s="44"/>
      <c r="W388" s="44"/>
      <c r="X388" s="44"/>
      <c r="Y388" s="44"/>
      <c r="Z388" s="44"/>
      <c r="AA388" s="44"/>
      <c r="AB388" s="44"/>
      <c r="AC388" s="44"/>
      <c r="AD388" s="44"/>
      <c r="AE388" s="44"/>
      <c r="AF388" s="44"/>
      <c r="AG388" s="44"/>
      <c r="AH388" s="44"/>
      <c r="AI388" s="44"/>
      <c r="AJ388" s="44"/>
      <c r="AK388" s="44"/>
      <c r="AL388" s="44"/>
    </row>
    <row r="389" spans="1:38" x14ac:dyDescent="0.25">
      <c r="A389" s="55"/>
      <c r="B389" s="265" t="s">
        <v>1326</v>
      </c>
      <c r="C389" s="266" t="s">
        <v>709</v>
      </c>
      <c r="D389" s="265" t="s">
        <v>51</v>
      </c>
      <c r="E389" s="265" t="s">
        <v>710</v>
      </c>
      <c r="F389" s="267" t="s">
        <v>44</v>
      </c>
      <c r="G389" s="277">
        <v>21</v>
      </c>
      <c r="H389" s="268">
        <v>10.65</v>
      </c>
      <c r="I389" s="287">
        <f>2.02+2.57</f>
        <v>4.59</v>
      </c>
      <c r="J389" s="268">
        <f t="shared" si="324"/>
        <v>5.82</v>
      </c>
      <c r="K389" s="292">
        <f t="shared" si="327"/>
        <v>6.06</v>
      </c>
      <c r="L389" s="268">
        <f t="shared" si="313"/>
        <v>7.69</v>
      </c>
      <c r="M389" s="268">
        <f t="shared" si="319"/>
        <v>13.51</v>
      </c>
      <c r="N389" s="268">
        <f t="shared" si="320"/>
        <v>122.22</v>
      </c>
      <c r="O389" s="268">
        <f t="shared" si="321"/>
        <v>161.49</v>
      </c>
      <c r="P389" s="268">
        <f t="shared" si="322"/>
        <v>283.70999999999998</v>
      </c>
      <c r="Q389" s="269">
        <f t="shared" si="325"/>
        <v>1E-4</v>
      </c>
      <c r="R389" s="44"/>
      <c r="S389" s="49">
        <f t="shared" si="326"/>
        <v>223.65</v>
      </c>
      <c r="T389" s="44"/>
      <c r="U389" s="44"/>
      <c r="V389" s="44"/>
      <c r="W389" s="44"/>
      <c r="X389" s="44"/>
      <c r="Y389" s="44"/>
      <c r="Z389" s="44"/>
      <c r="AA389" s="44"/>
      <c r="AB389" s="44"/>
      <c r="AC389" s="44"/>
      <c r="AD389" s="44"/>
      <c r="AE389" s="44"/>
      <c r="AF389" s="44"/>
      <c r="AG389" s="44"/>
      <c r="AH389" s="44"/>
      <c r="AI389" s="44"/>
      <c r="AJ389" s="44"/>
      <c r="AK389" s="44"/>
      <c r="AL389" s="44"/>
    </row>
    <row r="390" spans="1:38" x14ac:dyDescent="0.25">
      <c r="A390" s="55"/>
      <c r="B390" s="265" t="s">
        <v>1327</v>
      </c>
      <c r="C390" s="266" t="s">
        <v>1542</v>
      </c>
      <c r="D390" s="265" t="s">
        <v>146</v>
      </c>
      <c r="E390" s="265" t="s">
        <v>1543</v>
      </c>
      <c r="F390" s="267" t="s">
        <v>168</v>
      </c>
      <c r="G390" s="277">
        <v>2</v>
      </c>
      <c r="H390" s="268">
        <v>41.98</v>
      </c>
      <c r="I390" s="287">
        <f>0.75+0.78+3.83+2.73</f>
        <v>8.09</v>
      </c>
      <c r="J390" s="268">
        <f t="shared" si="324"/>
        <v>10.26</v>
      </c>
      <c r="K390" s="292">
        <f t="shared" si="327"/>
        <v>33.89</v>
      </c>
      <c r="L390" s="268">
        <f t="shared" ref="L390:L433" si="328">K390*(1+$M$9)</f>
        <v>43</v>
      </c>
      <c r="M390" s="268">
        <f t="shared" si="319"/>
        <v>53.26</v>
      </c>
      <c r="N390" s="268">
        <f t="shared" si="320"/>
        <v>20.52</v>
      </c>
      <c r="O390" s="268">
        <f t="shared" si="321"/>
        <v>86</v>
      </c>
      <c r="P390" s="268">
        <f t="shared" si="322"/>
        <v>106.52</v>
      </c>
      <c r="Q390" s="269">
        <f t="shared" si="325"/>
        <v>0</v>
      </c>
      <c r="R390" s="44"/>
      <c r="S390" s="49">
        <f t="shared" si="326"/>
        <v>83.96</v>
      </c>
      <c r="T390" s="44"/>
      <c r="U390" s="44"/>
      <c r="V390" s="44"/>
      <c r="W390" s="44"/>
      <c r="X390" s="44"/>
      <c r="Y390" s="44"/>
      <c r="Z390" s="44"/>
      <c r="AA390" s="44"/>
      <c r="AB390" s="44"/>
      <c r="AC390" s="44"/>
      <c r="AD390" s="44"/>
      <c r="AE390" s="44"/>
      <c r="AF390" s="44"/>
      <c r="AG390" s="44"/>
      <c r="AH390" s="44"/>
      <c r="AI390" s="44"/>
      <c r="AJ390" s="44"/>
      <c r="AK390" s="44"/>
      <c r="AL390" s="44"/>
    </row>
    <row r="391" spans="1:38" x14ac:dyDescent="0.25">
      <c r="A391" s="55"/>
      <c r="B391" s="265" t="s">
        <v>1328</v>
      </c>
      <c r="C391" s="266" t="s">
        <v>1127</v>
      </c>
      <c r="D391" s="265" t="s">
        <v>51</v>
      </c>
      <c r="E391" s="265" t="s">
        <v>1128</v>
      </c>
      <c r="F391" s="267" t="s">
        <v>55</v>
      </c>
      <c r="G391" s="277">
        <v>2.2999999999999998</v>
      </c>
      <c r="H391" s="268">
        <v>36.72</v>
      </c>
      <c r="I391" s="287">
        <f>6.68+8.49</f>
        <v>15.17</v>
      </c>
      <c r="J391" s="268">
        <f t="shared" si="324"/>
        <v>19.25</v>
      </c>
      <c r="K391" s="292">
        <f t="shared" si="327"/>
        <v>21.55</v>
      </c>
      <c r="L391" s="268">
        <f t="shared" si="328"/>
        <v>27.34</v>
      </c>
      <c r="M391" s="268">
        <f t="shared" ref="M391:M414" si="329">L391+J391</f>
        <v>46.59</v>
      </c>
      <c r="N391" s="268">
        <f t="shared" ref="N391:N414" si="330">J391*G391</f>
        <v>44.28</v>
      </c>
      <c r="O391" s="268">
        <f t="shared" ref="O391:O414" si="331">L391*G391</f>
        <v>62.88</v>
      </c>
      <c r="P391" s="268">
        <f t="shared" ref="P391:P414" si="332">O391+N391</f>
        <v>107.16</v>
      </c>
      <c r="Q391" s="269">
        <f t="shared" si="325"/>
        <v>0</v>
      </c>
      <c r="R391" s="44"/>
      <c r="S391" s="49">
        <f t="shared" si="326"/>
        <v>84.46</v>
      </c>
      <c r="T391" s="44"/>
      <c r="U391" s="44"/>
      <c r="V391" s="44"/>
      <c r="W391" s="44"/>
      <c r="X391" s="44"/>
      <c r="Y391" s="44"/>
      <c r="Z391" s="44"/>
      <c r="AA391" s="44"/>
      <c r="AB391" s="44"/>
      <c r="AC391" s="44"/>
      <c r="AD391" s="44"/>
      <c r="AE391" s="44"/>
      <c r="AF391" s="44"/>
      <c r="AG391" s="44"/>
      <c r="AH391" s="44"/>
      <c r="AI391" s="44"/>
      <c r="AJ391" s="44"/>
      <c r="AK391" s="44"/>
      <c r="AL391" s="44"/>
    </row>
    <row r="392" spans="1:38" ht="27.6" x14ac:dyDescent="0.25">
      <c r="A392" s="55"/>
      <c r="B392" s="265" t="s">
        <v>1329</v>
      </c>
      <c r="C392" s="266" t="s">
        <v>1544</v>
      </c>
      <c r="D392" s="265" t="s">
        <v>551</v>
      </c>
      <c r="E392" s="265" t="s">
        <v>1545</v>
      </c>
      <c r="F392" s="267" t="s">
        <v>55</v>
      </c>
      <c r="G392" s="277">
        <v>71.599999999999994</v>
      </c>
      <c r="H392" s="268">
        <v>77.709999999999994</v>
      </c>
      <c r="I392" s="287">
        <f>28.75+20.79</f>
        <v>49.54</v>
      </c>
      <c r="J392" s="268">
        <f t="shared" si="324"/>
        <v>62.85</v>
      </c>
      <c r="K392" s="292">
        <f t="shared" si="327"/>
        <v>28.17</v>
      </c>
      <c r="L392" s="268">
        <f t="shared" si="328"/>
        <v>35.74</v>
      </c>
      <c r="M392" s="268">
        <f t="shared" si="329"/>
        <v>98.59</v>
      </c>
      <c r="N392" s="268">
        <f t="shared" si="330"/>
        <v>4500.0600000000004</v>
      </c>
      <c r="O392" s="268">
        <f t="shared" si="331"/>
        <v>2558.98</v>
      </c>
      <c r="P392" s="268">
        <f t="shared" si="332"/>
        <v>7059.04</v>
      </c>
      <c r="Q392" s="269">
        <f t="shared" si="325"/>
        <v>2.8E-3</v>
      </c>
      <c r="R392" s="44"/>
      <c r="S392" s="49">
        <f t="shared" si="326"/>
        <v>5564.04</v>
      </c>
      <c r="T392" s="44"/>
      <c r="U392" s="44"/>
      <c r="V392" s="44"/>
      <c r="W392" s="44"/>
      <c r="X392" s="44"/>
      <c r="Y392" s="44"/>
      <c r="Z392" s="44"/>
      <c r="AA392" s="44"/>
      <c r="AB392" s="44"/>
      <c r="AC392" s="44"/>
      <c r="AD392" s="44"/>
      <c r="AE392" s="44"/>
      <c r="AF392" s="44"/>
      <c r="AG392" s="44"/>
      <c r="AH392" s="44"/>
      <c r="AI392" s="44"/>
      <c r="AJ392" s="44"/>
      <c r="AK392" s="44"/>
      <c r="AL392" s="44"/>
    </row>
    <row r="393" spans="1:38" x14ac:dyDescent="0.25">
      <c r="A393" s="55"/>
      <c r="B393" s="265" t="s">
        <v>1330</v>
      </c>
      <c r="C393" s="266" t="s">
        <v>1546</v>
      </c>
      <c r="D393" s="265" t="s">
        <v>146</v>
      </c>
      <c r="E393" s="265" t="s">
        <v>1547</v>
      </c>
      <c r="F393" s="267" t="s">
        <v>168</v>
      </c>
      <c r="G393" s="277">
        <v>65</v>
      </c>
      <c r="H393" s="268">
        <v>24.71</v>
      </c>
      <c r="I393" s="287">
        <f>0.75+0.78+3.83+2.73</f>
        <v>8.09</v>
      </c>
      <c r="J393" s="268">
        <f t="shared" si="324"/>
        <v>10.26</v>
      </c>
      <c r="K393" s="292">
        <f t="shared" si="327"/>
        <v>16.62</v>
      </c>
      <c r="L393" s="268">
        <f t="shared" si="328"/>
        <v>21.09</v>
      </c>
      <c r="M393" s="268">
        <f t="shared" si="329"/>
        <v>31.35</v>
      </c>
      <c r="N393" s="268">
        <f t="shared" si="330"/>
        <v>666.9</v>
      </c>
      <c r="O393" s="268">
        <f t="shared" si="331"/>
        <v>1370.85</v>
      </c>
      <c r="P393" s="268">
        <f t="shared" si="332"/>
        <v>2037.75</v>
      </c>
      <c r="Q393" s="269">
        <f t="shared" si="325"/>
        <v>8.0000000000000004E-4</v>
      </c>
      <c r="R393" s="44"/>
      <c r="S393" s="49">
        <f t="shared" si="326"/>
        <v>1606.15</v>
      </c>
      <c r="T393" s="44"/>
      <c r="U393" s="44"/>
      <c r="V393" s="44"/>
      <c r="W393" s="44"/>
      <c r="X393" s="44"/>
      <c r="Y393" s="44"/>
      <c r="Z393" s="44"/>
      <c r="AA393" s="44"/>
      <c r="AB393" s="44"/>
      <c r="AC393" s="44"/>
      <c r="AD393" s="44"/>
      <c r="AE393" s="44"/>
      <c r="AF393" s="44"/>
      <c r="AG393" s="44"/>
      <c r="AH393" s="44"/>
      <c r="AI393" s="44"/>
      <c r="AJ393" s="44"/>
      <c r="AK393" s="44"/>
      <c r="AL393" s="44"/>
    </row>
    <row r="394" spans="1:38" x14ac:dyDescent="0.25">
      <c r="A394" s="55"/>
      <c r="B394" s="265" t="s">
        <v>1331</v>
      </c>
      <c r="C394" s="266" t="s">
        <v>1129</v>
      </c>
      <c r="D394" s="265" t="s">
        <v>146</v>
      </c>
      <c r="E394" s="265" t="s">
        <v>1130</v>
      </c>
      <c r="F394" s="267" t="s">
        <v>168</v>
      </c>
      <c r="G394" s="277">
        <v>2</v>
      </c>
      <c r="H394" s="268">
        <v>14.36</v>
      </c>
      <c r="I394" s="287">
        <f>0.75+0.78+3.83+2.73</f>
        <v>8.09</v>
      </c>
      <c r="J394" s="268">
        <f t="shared" si="324"/>
        <v>10.26</v>
      </c>
      <c r="K394" s="292">
        <f t="shared" si="327"/>
        <v>6.27</v>
      </c>
      <c r="L394" s="268">
        <f t="shared" si="328"/>
        <v>7.95</v>
      </c>
      <c r="M394" s="268">
        <f t="shared" si="329"/>
        <v>18.21</v>
      </c>
      <c r="N394" s="268">
        <f t="shared" si="330"/>
        <v>20.52</v>
      </c>
      <c r="O394" s="268">
        <f t="shared" si="331"/>
        <v>15.9</v>
      </c>
      <c r="P394" s="268">
        <f t="shared" si="332"/>
        <v>36.42</v>
      </c>
      <c r="Q394" s="269">
        <f t="shared" si="325"/>
        <v>0</v>
      </c>
      <c r="R394" s="44"/>
      <c r="S394" s="49">
        <f t="shared" si="326"/>
        <v>28.72</v>
      </c>
      <c r="T394" s="44"/>
      <c r="U394" s="44"/>
      <c r="V394" s="44"/>
      <c r="W394" s="44"/>
      <c r="X394" s="44"/>
      <c r="Y394" s="44"/>
      <c r="Z394" s="44"/>
      <c r="AA394" s="44"/>
      <c r="AB394" s="44"/>
      <c r="AC394" s="44"/>
      <c r="AD394" s="44"/>
      <c r="AE394" s="44"/>
      <c r="AF394" s="44"/>
      <c r="AG394" s="44"/>
      <c r="AH394" s="44"/>
      <c r="AI394" s="44"/>
      <c r="AJ394" s="44"/>
      <c r="AK394" s="44"/>
      <c r="AL394" s="44"/>
    </row>
    <row r="395" spans="1:38" ht="13.8" customHeight="1" x14ac:dyDescent="0.25">
      <c r="A395" s="55"/>
      <c r="B395" s="265" t="s">
        <v>1332</v>
      </c>
      <c r="C395" s="266" t="s">
        <v>1548</v>
      </c>
      <c r="D395" s="265" t="s">
        <v>551</v>
      </c>
      <c r="E395" s="265" t="s">
        <v>1549</v>
      </c>
      <c r="F395" s="267" t="s">
        <v>44</v>
      </c>
      <c r="G395" s="277">
        <v>1</v>
      </c>
      <c r="H395" s="268">
        <v>58.99</v>
      </c>
      <c r="I395" s="287">
        <f>14.38+10.39</f>
        <v>24.77</v>
      </c>
      <c r="J395" s="268">
        <f t="shared" si="324"/>
        <v>31.43</v>
      </c>
      <c r="K395" s="292">
        <f t="shared" si="327"/>
        <v>34.22</v>
      </c>
      <c r="L395" s="268">
        <f t="shared" si="328"/>
        <v>43.41</v>
      </c>
      <c r="M395" s="268">
        <f t="shared" si="329"/>
        <v>74.84</v>
      </c>
      <c r="N395" s="268">
        <f t="shared" si="330"/>
        <v>31.43</v>
      </c>
      <c r="O395" s="268">
        <f t="shared" si="331"/>
        <v>43.41</v>
      </c>
      <c r="P395" s="268">
        <f t="shared" si="332"/>
        <v>74.84</v>
      </c>
      <c r="Q395" s="269">
        <f t="shared" si="325"/>
        <v>0</v>
      </c>
      <c r="R395" s="44"/>
      <c r="S395" s="49">
        <f t="shared" si="326"/>
        <v>58.99</v>
      </c>
      <c r="T395" s="44"/>
      <c r="U395" s="44"/>
      <c r="V395" s="44"/>
      <c r="W395" s="44"/>
      <c r="X395" s="44"/>
      <c r="Y395" s="44"/>
      <c r="Z395" s="44"/>
      <c r="AA395" s="44"/>
      <c r="AB395" s="44"/>
      <c r="AC395" s="44"/>
      <c r="AD395" s="44"/>
      <c r="AE395" s="44"/>
      <c r="AF395" s="44"/>
      <c r="AG395" s="44"/>
      <c r="AH395" s="44"/>
      <c r="AI395" s="44"/>
      <c r="AJ395" s="44"/>
      <c r="AK395" s="44"/>
      <c r="AL395" s="44"/>
    </row>
    <row r="396" spans="1:38" x14ac:dyDescent="0.25">
      <c r="A396" s="55"/>
      <c r="B396" s="265" t="s">
        <v>1333</v>
      </c>
      <c r="C396" s="266" t="s">
        <v>1550</v>
      </c>
      <c r="D396" s="265" t="s">
        <v>51</v>
      </c>
      <c r="E396" s="265" t="s">
        <v>1551</v>
      </c>
      <c r="F396" s="267" t="s">
        <v>44</v>
      </c>
      <c r="G396" s="277">
        <v>48</v>
      </c>
      <c r="H396" s="268">
        <v>8.99</v>
      </c>
      <c r="I396" s="287">
        <f>1.87+2.38</f>
        <v>4.25</v>
      </c>
      <c r="J396" s="268">
        <f t="shared" si="324"/>
        <v>5.39</v>
      </c>
      <c r="K396" s="292">
        <f t="shared" si="327"/>
        <v>4.74</v>
      </c>
      <c r="L396" s="268">
        <f t="shared" si="328"/>
        <v>6.01</v>
      </c>
      <c r="M396" s="268">
        <f t="shared" si="329"/>
        <v>11.4</v>
      </c>
      <c r="N396" s="268">
        <f t="shared" si="330"/>
        <v>258.72000000000003</v>
      </c>
      <c r="O396" s="268">
        <f t="shared" si="331"/>
        <v>288.48</v>
      </c>
      <c r="P396" s="268">
        <f t="shared" si="332"/>
        <v>547.20000000000005</v>
      </c>
      <c r="Q396" s="269">
        <f t="shared" si="325"/>
        <v>2.0000000000000001E-4</v>
      </c>
      <c r="R396" s="44"/>
      <c r="S396" s="49">
        <f t="shared" si="326"/>
        <v>431.52</v>
      </c>
      <c r="T396" s="44"/>
      <c r="U396" s="44"/>
      <c r="V396" s="44"/>
      <c r="W396" s="44"/>
      <c r="X396" s="44"/>
      <c r="Y396" s="44"/>
      <c r="Z396" s="44"/>
      <c r="AA396" s="44"/>
      <c r="AB396" s="44"/>
      <c r="AC396" s="44"/>
      <c r="AD396" s="44"/>
      <c r="AE396" s="44"/>
      <c r="AF396" s="44"/>
      <c r="AG396" s="44"/>
      <c r="AH396" s="44"/>
      <c r="AI396" s="44"/>
      <c r="AJ396" s="44"/>
      <c r="AK396" s="44"/>
      <c r="AL396" s="44"/>
    </row>
    <row r="397" spans="1:38" ht="27.6" customHeight="1" x14ac:dyDescent="0.25">
      <c r="A397" s="55"/>
      <c r="B397" s="265" t="s">
        <v>1552</v>
      </c>
      <c r="C397" s="266" t="s">
        <v>1553</v>
      </c>
      <c r="D397" s="265" t="s">
        <v>146</v>
      </c>
      <c r="E397" s="265" t="s">
        <v>1554</v>
      </c>
      <c r="F397" s="267" t="s">
        <v>168</v>
      </c>
      <c r="G397" s="277">
        <v>3</v>
      </c>
      <c r="H397" s="268">
        <v>23.28</v>
      </c>
      <c r="I397" s="287">
        <f>1.31+1.37+6.7+4.78</f>
        <v>14.16</v>
      </c>
      <c r="J397" s="268">
        <f t="shared" si="324"/>
        <v>17.96</v>
      </c>
      <c r="K397" s="292">
        <f t="shared" si="327"/>
        <v>9.1199999999999992</v>
      </c>
      <c r="L397" s="268">
        <f t="shared" si="328"/>
        <v>11.57</v>
      </c>
      <c r="M397" s="268">
        <f t="shared" si="329"/>
        <v>29.53</v>
      </c>
      <c r="N397" s="268">
        <f t="shared" si="330"/>
        <v>53.88</v>
      </c>
      <c r="O397" s="268">
        <f t="shared" si="331"/>
        <v>34.71</v>
      </c>
      <c r="P397" s="268">
        <f t="shared" si="332"/>
        <v>88.59</v>
      </c>
      <c r="Q397" s="269">
        <f t="shared" si="325"/>
        <v>0</v>
      </c>
      <c r="R397" s="44"/>
      <c r="S397" s="49">
        <f t="shared" si="326"/>
        <v>69.84</v>
      </c>
      <c r="T397" s="44"/>
      <c r="U397" s="44"/>
      <c r="V397" s="44"/>
      <c r="W397" s="44"/>
      <c r="X397" s="44"/>
      <c r="Y397" s="44"/>
      <c r="Z397" s="44"/>
      <c r="AA397" s="44"/>
      <c r="AB397" s="44"/>
      <c r="AC397" s="44"/>
      <c r="AD397" s="44"/>
      <c r="AE397" s="44"/>
      <c r="AF397" s="44"/>
      <c r="AG397" s="44"/>
      <c r="AH397" s="44"/>
      <c r="AI397" s="44"/>
      <c r="AJ397" s="44"/>
      <c r="AK397" s="44"/>
      <c r="AL397" s="44"/>
    </row>
    <row r="398" spans="1:38" ht="27.6" x14ac:dyDescent="0.25">
      <c r="A398" s="55"/>
      <c r="B398" s="265" t="s">
        <v>1555</v>
      </c>
      <c r="C398" s="266" t="s">
        <v>711</v>
      </c>
      <c r="D398" s="265" t="s">
        <v>40</v>
      </c>
      <c r="E398" s="265" t="s">
        <v>712</v>
      </c>
      <c r="F398" s="267" t="s">
        <v>55</v>
      </c>
      <c r="G398" s="277">
        <v>65.8</v>
      </c>
      <c r="H398" s="268">
        <f t="shared" ref="H398:H433" si="333">I398+K398</f>
        <v>25.17</v>
      </c>
      <c r="I398" s="287">
        <v>8.17</v>
      </c>
      <c r="J398" s="268">
        <f t="shared" si="324"/>
        <v>10.37</v>
      </c>
      <c r="K398" s="292">
        <v>17</v>
      </c>
      <c r="L398" s="268">
        <f t="shared" si="328"/>
        <v>21.57</v>
      </c>
      <c r="M398" s="268">
        <f t="shared" si="329"/>
        <v>31.94</v>
      </c>
      <c r="N398" s="268">
        <f t="shared" si="330"/>
        <v>682.35</v>
      </c>
      <c r="O398" s="268">
        <f t="shared" si="331"/>
        <v>1419.31</v>
      </c>
      <c r="P398" s="268">
        <f t="shared" si="332"/>
        <v>2101.66</v>
      </c>
      <c r="Q398" s="269">
        <f t="shared" si="325"/>
        <v>8.0000000000000004E-4</v>
      </c>
      <c r="R398" s="44"/>
      <c r="S398" s="49">
        <f t="shared" si="326"/>
        <v>1656.19</v>
      </c>
      <c r="T398" s="44"/>
      <c r="U398" s="44"/>
      <c r="V398" s="44"/>
      <c r="W398" s="44"/>
      <c r="X398" s="44"/>
      <c r="Y398" s="44"/>
      <c r="Z398" s="44"/>
      <c r="AA398" s="44"/>
      <c r="AB398" s="44"/>
      <c r="AC398" s="44"/>
      <c r="AD398" s="44"/>
      <c r="AE398" s="44"/>
      <c r="AF398" s="44"/>
      <c r="AG398" s="44"/>
      <c r="AH398" s="44"/>
      <c r="AI398" s="44"/>
      <c r="AJ398" s="44"/>
      <c r="AK398" s="44"/>
      <c r="AL398" s="44"/>
    </row>
    <row r="399" spans="1:38" ht="27.6" x14ac:dyDescent="0.25">
      <c r="A399" s="55"/>
      <c r="B399" s="265" t="s">
        <v>1556</v>
      </c>
      <c r="C399" s="266" t="s">
        <v>713</v>
      </c>
      <c r="D399" s="265" t="s">
        <v>40</v>
      </c>
      <c r="E399" s="265" t="s">
        <v>714</v>
      </c>
      <c r="F399" s="267" t="s">
        <v>55</v>
      </c>
      <c r="G399" s="277">
        <v>1068.9000000000001</v>
      </c>
      <c r="H399" s="268">
        <f t="shared" si="333"/>
        <v>19.71</v>
      </c>
      <c r="I399" s="287">
        <v>7.7</v>
      </c>
      <c r="J399" s="268">
        <f t="shared" si="324"/>
        <v>9.77</v>
      </c>
      <c r="K399" s="292">
        <v>12.01</v>
      </c>
      <c r="L399" s="268">
        <f t="shared" si="328"/>
        <v>15.24</v>
      </c>
      <c r="M399" s="268">
        <f t="shared" si="329"/>
        <v>25.01</v>
      </c>
      <c r="N399" s="268">
        <f t="shared" si="330"/>
        <v>10443.15</v>
      </c>
      <c r="O399" s="268">
        <f t="shared" si="331"/>
        <v>16290.04</v>
      </c>
      <c r="P399" s="268">
        <f t="shared" si="332"/>
        <v>26733.19</v>
      </c>
      <c r="Q399" s="269">
        <f t="shared" si="325"/>
        <v>1.06E-2</v>
      </c>
      <c r="R399" s="44"/>
      <c r="S399" s="49">
        <f t="shared" si="326"/>
        <v>21068.02</v>
      </c>
      <c r="T399" s="44"/>
      <c r="U399" s="44"/>
      <c r="V399" s="44"/>
      <c r="W399" s="44"/>
      <c r="X399" s="44"/>
      <c r="Y399" s="44"/>
      <c r="Z399" s="44"/>
      <c r="AA399" s="44"/>
      <c r="AB399" s="44"/>
      <c r="AC399" s="44"/>
      <c r="AD399" s="44"/>
      <c r="AE399" s="44"/>
      <c r="AF399" s="44"/>
      <c r="AG399" s="44"/>
      <c r="AH399" s="44"/>
      <c r="AI399" s="44"/>
      <c r="AJ399" s="44"/>
      <c r="AK399" s="44"/>
      <c r="AL399" s="44"/>
    </row>
    <row r="400" spans="1:38" ht="27.6" x14ac:dyDescent="0.25">
      <c r="A400" s="55"/>
      <c r="B400" s="265" t="s">
        <v>1557</v>
      </c>
      <c r="C400" s="266">
        <v>93008</v>
      </c>
      <c r="D400" s="265" t="s">
        <v>40</v>
      </c>
      <c r="E400" s="265" t="s">
        <v>715</v>
      </c>
      <c r="F400" s="267" t="s">
        <v>55</v>
      </c>
      <c r="G400" s="277">
        <v>115.6</v>
      </c>
      <c r="H400" s="268">
        <f t="shared" si="333"/>
        <v>19.84</v>
      </c>
      <c r="I400" s="287">
        <v>3.78</v>
      </c>
      <c r="J400" s="268">
        <f t="shared" si="324"/>
        <v>4.8</v>
      </c>
      <c r="K400" s="292">
        <v>16.059999999999999</v>
      </c>
      <c r="L400" s="268">
        <f t="shared" si="328"/>
        <v>20.38</v>
      </c>
      <c r="M400" s="268">
        <f t="shared" si="329"/>
        <v>25.18</v>
      </c>
      <c r="N400" s="268">
        <f t="shared" si="330"/>
        <v>554.88</v>
      </c>
      <c r="O400" s="268">
        <f t="shared" si="331"/>
        <v>2355.9299999999998</v>
      </c>
      <c r="P400" s="268">
        <f t="shared" si="332"/>
        <v>2910.81</v>
      </c>
      <c r="Q400" s="269">
        <f t="shared" si="325"/>
        <v>1.1999999999999999E-3</v>
      </c>
      <c r="R400" s="44"/>
      <c r="S400" s="49">
        <f t="shared" si="326"/>
        <v>2293.5</v>
      </c>
      <c r="T400" s="44"/>
      <c r="U400" s="44"/>
      <c r="V400" s="44"/>
      <c r="W400" s="44"/>
      <c r="X400" s="44"/>
      <c r="Y400" s="44"/>
      <c r="Z400" s="44"/>
      <c r="AA400" s="44"/>
      <c r="AB400" s="44"/>
      <c r="AC400" s="44"/>
      <c r="AD400" s="44"/>
      <c r="AE400" s="44"/>
      <c r="AF400" s="44"/>
      <c r="AG400" s="44"/>
      <c r="AH400" s="44"/>
      <c r="AI400" s="44"/>
      <c r="AJ400" s="44"/>
      <c r="AK400" s="44"/>
      <c r="AL400" s="44"/>
    </row>
    <row r="401" spans="1:38" ht="27.6" x14ac:dyDescent="0.25">
      <c r="A401" s="55"/>
      <c r="B401" s="265" t="s">
        <v>1558</v>
      </c>
      <c r="C401" s="266" t="s">
        <v>716</v>
      </c>
      <c r="D401" s="265" t="s">
        <v>40</v>
      </c>
      <c r="E401" s="265" t="s">
        <v>717</v>
      </c>
      <c r="F401" s="267" t="s">
        <v>55</v>
      </c>
      <c r="G401" s="277">
        <v>262.10000000000002</v>
      </c>
      <c r="H401" s="268">
        <f t="shared" si="333"/>
        <v>19.670000000000002</v>
      </c>
      <c r="I401" s="287">
        <v>5.48</v>
      </c>
      <c r="J401" s="268">
        <f t="shared" si="324"/>
        <v>6.95</v>
      </c>
      <c r="K401" s="292">
        <v>14.19</v>
      </c>
      <c r="L401" s="268">
        <f t="shared" si="328"/>
        <v>18</v>
      </c>
      <c r="M401" s="268">
        <f t="shared" si="329"/>
        <v>24.95</v>
      </c>
      <c r="N401" s="268">
        <f t="shared" si="330"/>
        <v>1821.6</v>
      </c>
      <c r="O401" s="268">
        <f t="shared" si="331"/>
        <v>4717.8</v>
      </c>
      <c r="P401" s="268">
        <f t="shared" si="332"/>
        <v>6539.4</v>
      </c>
      <c r="Q401" s="269">
        <f t="shared" si="325"/>
        <v>2.5999999999999999E-3</v>
      </c>
      <c r="R401" s="44"/>
      <c r="S401" s="49">
        <f t="shared" si="326"/>
        <v>5155.51</v>
      </c>
      <c r="T401" s="44"/>
      <c r="U401" s="44"/>
      <c r="V401" s="44"/>
      <c r="W401" s="44"/>
      <c r="X401" s="44"/>
      <c r="Y401" s="44"/>
      <c r="Z401" s="44"/>
      <c r="AA401" s="44"/>
      <c r="AB401" s="44"/>
      <c r="AC401" s="44"/>
      <c r="AD401" s="44"/>
      <c r="AE401" s="44"/>
      <c r="AF401" s="44"/>
      <c r="AG401" s="44"/>
      <c r="AH401" s="44"/>
      <c r="AI401" s="44"/>
      <c r="AJ401" s="44"/>
      <c r="AK401" s="44"/>
      <c r="AL401" s="44"/>
    </row>
    <row r="402" spans="1:38" ht="27.6" x14ac:dyDescent="0.25">
      <c r="A402" s="55"/>
      <c r="B402" s="265" t="s">
        <v>1559</v>
      </c>
      <c r="C402" s="266" t="s">
        <v>718</v>
      </c>
      <c r="D402" s="265" t="s">
        <v>40</v>
      </c>
      <c r="E402" s="265" t="s">
        <v>719</v>
      </c>
      <c r="F402" s="267" t="s">
        <v>55</v>
      </c>
      <c r="G402" s="277">
        <v>22.9</v>
      </c>
      <c r="H402" s="268">
        <f t="shared" si="333"/>
        <v>30.07</v>
      </c>
      <c r="I402" s="287">
        <v>4.3499999999999996</v>
      </c>
      <c r="J402" s="268">
        <f t="shared" si="324"/>
        <v>5.52</v>
      </c>
      <c r="K402" s="292">
        <v>25.72</v>
      </c>
      <c r="L402" s="268">
        <f t="shared" si="328"/>
        <v>32.630000000000003</v>
      </c>
      <c r="M402" s="268">
        <f t="shared" si="329"/>
        <v>38.15</v>
      </c>
      <c r="N402" s="268">
        <f t="shared" si="330"/>
        <v>126.41</v>
      </c>
      <c r="O402" s="268">
        <f t="shared" si="331"/>
        <v>747.23</v>
      </c>
      <c r="P402" s="268">
        <f t="shared" si="332"/>
        <v>873.64</v>
      </c>
      <c r="Q402" s="269">
        <f t="shared" si="325"/>
        <v>2.9999999999999997E-4</v>
      </c>
      <c r="R402" s="44"/>
      <c r="S402" s="49">
        <f t="shared" si="326"/>
        <v>688.6</v>
      </c>
      <c r="T402" s="44"/>
      <c r="U402" s="44"/>
      <c r="V402" s="44"/>
      <c r="W402" s="44"/>
      <c r="X402" s="44"/>
      <c r="Y402" s="44"/>
      <c r="Z402" s="44"/>
      <c r="AA402" s="44"/>
      <c r="AB402" s="44"/>
      <c r="AC402" s="44"/>
      <c r="AD402" s="44"/>
      <c r="AE402" s="44"/>
      <c r="AF402" s="44"/>
      <c r="AG402" s="44"/>
      <c r="AH402" s="44"/>
      <c r="AI402" s="44"/>
      <c r="AJ402" s="44"/>
      <c r="AK402" s="44"/>
      <c r="AL402" s="44"/>
    </row>
    <row r="403" spans="1:38" ht="27.6" x14ac:dyDescent="0.25">
      <c r="A403" s="55"/>
      <c r="B403" s="265" t="s">
        <v>1560</v>
      </c>
      <c r="C403" s="266" t="s">
        <v>1561</v>
      </c>
      <c r="D403" s="265" t="s">
        <v>40</v>
      </c>
      <c r="E403" s="265" t="s">
        <v>1562</v>
      </c>
      <c r="F403" s="267" t="s">
        <v>55</v>
      </c>
      <c r="G403" s="277">
        <v>10.5</v>
      </c>
      <c r="H403" s="268">
        <f t="shared" si="333"/>
        <v>52.16</v>
      </c>
      <c r="I403" s="287">
        <v>5.78</v>
      </c>
      <c r="J403" s="268">
        <f t="shared" si="324"/>
        <v>7.33</v>
      </c>
      <c r="K403" s="292">
        <v>46.38</v>
      </c>
      <c r="L403" s="268">
        <f t="shared" si="328"/>
        <v>58.84</v>
      </c>
      <c r="M403" s="268">
        <f t="shared" si="329"/>
        <v>66.17</v>
      </c>
      <c r="N403" s="268">
        <f t="shared" si="330"/>
        <v>76.97</v>
      </c>
      <c r="O403" s="268">
        <f t="shared" si="331"/>
        <v>617.82000000000005</v>
      </c>
      <c r="P403" s="268">
        <f t="shared" si="332"/>
        <v>694.79</v>
      </c>
      <c r="Q403" s="269">
        <f t="shared" si="325"/>
        <v>2.9999999999999997E-4</v>
      </c>
      <c r="R403" s="44"/>
      <c r="S403" s="49">
        <f t="shared" si="326"/>
        <v>547.67999999999995</v>
      </c>
      <c r="T403" s="44"/>
      <c r="U403" s="44"/>
      <c r="V403" s="44"/>
      <c r="W403" s="44"/>
      <c r="X403" s="44"/>
      <c r="Y403" s="44"/>
      <c r="Z403" s="44"/>
      <c r="AA403" s="44"/>
      <c r="AB403" s="44"/>
      <c r="AC403" s="44"/>
      <c r="AD403" s="44"/>
      <c r="AE403" s="44"/>
      <c r="AF403" s="44"/>
      <c r="AG403" s="44"/>
      <c r="AH403" s="44"/>
      <c r="AI403" s="44"/>
      <c r="AJ403" s="44"/>
      <c r="AK403" s="44"/>
      <c r="AL403" s="44"/>
    </row>
    <row r="404" spans="1:38" x14ac:dyDescent="0.25">
      <c r="A404" s="55"/>
      <c r="B404" s="265" t="s">
        <v>1563</v>
      </c>
      <c r="C404" s="266" t="s">
        <v>1131</v>
      </c>
      <c r="D404" s="265" t="s">
        <v>199</v>
      </c>
      <c r="E404" s="265" t="s">
        <v>1132</v>
      </c>
      <c r="F404" s="267" t="s">
        <v>240</v>
      </c>
      <c r="G404" s="277">
        <v>1</v>
      </c>
      <c r="H404" s="268">
        <v>71.67</v>
      </c>
      <c r="I404" s="287">
        <f>14.86+21.66</f>
        <v>36.520000000000003</v>
      </c>
      <c r="J404" s="268">
        <f t="shared" si="324"/>
        <v>46.33</v>
      </c>
      <c r="K404" s="292">
        <f>H404-I404</f>
        <v>35.15</v>
      </c>
      <c r="L404" s="268">
        <f t="shared" si="328"/>
        <v>44.59</v>
      </c>
      <c r="M404" s="268">
        <f t="shared" si="329"/>
        <v>90.92</v>
      </c>
      <c r="N404" s="268">
        <f t="shared" si="330"/>
        <v>46.33</v>
      </c>
      <c r="O404" s="268">
        <f t="shared" si="331"/>
        <v>44.59</v>
      </c>
      <c r="P404" s="268">
        <f t="shared" si="332"/>
        <v>90.92</v>
      </c>
      <c r="Q404" s="269">
        <f t="shared" si="325"/>
        <v>0</v>
      </c>
      <c r="R404" s="44"/>
      <c r="S404" s="49">
        <f t="shared" si="326"/>
        <v>71.67</v>
      </c>
      <c r="T404" s="44"/>
      <c r="U404" s="44"/>
      <c r="V404" s="44"/>
      <c r="W404" s="44"/>
      <c r="X404" s="44"/>
      <c r="Y404" s="44"/>
      <c r="Z404" s="44"/>
      <c r="AA404" s="44"/>
      <c r="AB404" s="44"/>
      <c r="AC404" s="44"/>
      <c r="AD404" s="44"/>
      <c r="AE404" s="44"/>
      <c r="AF404" s="44"/>
      <c r="AG404" s="44"/>
      <c r="AH404" s="44"/>
      <c r="AI404" s="44"/>
      <c r="AJ404" s="44"/>
      <c r="AK404" s="44"/>
      <c r="AL404" s="44"/>
    </row>
    <row r="405" spans="1:38" ht="27.6" x14ac:dyDescent="0.25">
      <c r="A405" s="55"/>
      <c r="B405" s="265" t="s">
        <v>1564</v>
      </c>
      <c r="C405" s="266" t="s">
        <v>725</v>
      </c>
      <c r="D405" s="265" t="s">
        <v>199</v>
      </c>
      <c r="E405" s="265" t="s">
        <v>774</v>
      </c>
      <c r="F405" s="267" t="s">
        <v>168</v>
      </c>
      <c r="G405" s="277">
        <v>34</v>
      </c>
      <c r="H405" s="268">
        <v>236.86</v>
      </c>
      <c r="I405" s="287">
        <f>3.71+10.83</f>
        <v>14.54</v>
      </c>
      <c r="J405" s="268">
        <f t="shared" ref="J405:J468" si="334">I405*(1+$M$9)</f>
        <v>18.45</v>
      </c>
      <c r="K405" s="292">
        <f>H405-I405</f>
        <v>222.32</v>
      </c>
      <c r="L405" s="268">
        <f t="shared" si="328"/>
        <v>282.06</v>
      </c>
      <c r="M405" s="268">
        <f t="shared" si="329"/>
        <v>300.51</v>
      </c>
      <c r="N405" s="268">
        <f t="shared" si="330"/>
        <v>627.29999999999995</v>
      </c>
      <c r="O405" s="268">
        <f t="shared" si="331"/>
        <v>9590.0400000000009</v>
      </c>
      <c r="P405" s="268">
        <f t="shared" si="332"/>
        <v>10217.34</v>
      </c>
      <c r="Q405" s="269">
        <f t="shared" ref="Q405:Q468" si="335">P405/$O$485</f>
        <v>4.0000000000000001E-3</v>
      </c>
      <c r="R405" s="44"/>
      <c r="S405" s="49">
        <f t="shared" ref="S405:S468" si="336">G405*H405</f>
        <v>8053.24</v>
      </c>
      <c r="T405" s="44"/>
      <c r="U405" s="44"/>
      <c r="V405" s="44"/>
      <c r="W405" s="44"/>
      <c r="X405" s="44"/>
      <c r="Y405" s="44"/>
      <c r="Z405" s="44"/>
      <c r="AA405" s="44"/>
      <c r="AB405" s="44"/>
      <c r="AC405" s="44"/>
      <c r="AD405" s="44"/>
      <c r="AE405" s="44"/>
      <c r="AF405" s="44"/>
      <c r="AG405" s="44"/>
      <c r="AH405" s="44"/>
      <c r="AI405" s="44"/>
      <c r="AJ405" s="44"/>
      <c r="AK405" s="44"/>
      <c r="AL405" s="44"/>
    </row>
    <row r="406" spans="1:38" x14ac:dyDescent="0.25">
      <c r="A406" s="55"/>
      <c r="B406" s="265" t="s">
        <v>1565</v>
      </c>
      <c r="C406" s="266" t="s">
        <v>720</v>
      </c>
      <c r="D406" s="265" t="s">
        <v>146</v>
      </c>
      <c r="E406" s="265" t="s">
        <v>721</v>
      </c>
      <c r="F406" s="267" t="s">
        <v>168</v>
      </c>
      <c r="G406" s="277">
        <v>107</v>
      </c>
      <c r="H406" s="268">
        <v>12.52</v>
      </c>
      <c r="I406" s="287">
        <f>0.56+0.59+2.87+2.05</f>
        <v>6.07</v>
      </c>
      <c r="J406" s="268">
        <f t="shared" si="334"/>
        <v>7.7</v>
      </c>
      <c r="K406" s="292">
        <f>H406-I406</f>
        <v>6.45</v>
      </c>
      <c r="L406" s="268">
        <f t="shared" si="328"/>
        <v>8.18</v>
      </c>
      <c r="M406" s="268">
        <f t="shared" si="329"/>
        <v>15.88</v>
      </c>
      <c r="N406" s="268">
        <f t="shared" si="330"/>
        <v>823.9</v>
      </c>
      <c r="O406" s="268">
        <f t="shared" si="331"/>
        <v>875.26</v>
      </c>
      <c r="P406" s="268">
        <f t="shared" si="332"/>
        <v>1699.16</v>
      </c>
      <c r="Q406" s="269">
        <f t="shared" si="335"/>
        <v>6.9999999999999999E-4</v>
      </c>
      <c r="R406" s="44"/>
      <c r="S406" s="49">
        <f t="shared" si="336"/>
        <v>1339.64</v>
      </c>
      <c r="T406" s="44"/>
      <c r="U406" s="44"/>
      <c r="V406" s="44"/>
      <c r="W406" s="44"/>
      <c r="X406" s="44"/>
      <c r="Y406" s="44"/>
      <c r="Z406" s="44"/>
      <c r="AA406" s="44"/>
      <c r="AB406" s="44"/>
      <c r="AC406" s="44"/>
      <c r="AD406" s="44"/>
      <c r="AE406" s="44"/>
      <c r="AF406" s="44"/>
      <c r="AG406" s="44"/>
      <c r="AH406" s="44"/>
      <c r="AI406" s="44"/>
      <c r="AJ406" s="44"/>
      <c r="AK406" s="44"/>
      <c r="AL406" s="44"/>
    </row>
    <row r="407" spans="1:38" x14ac:dyDescent="0.25">
      <c r="A407" s="55"/>
      <c r="B407" s="265" t="s">
        <v>1566</v>
      </c>
      <c r="C407" s="266" t="s">
        <v>1133</v>
      </c>
      <c r="D407" s="265" t="s">
        <v>40</v>
      </c>
      <c r="E407" s="265" t="s">
        <v>1134</v>
      </c>
      <c r="F407" s="267" t="s">
        <v>44</v>
      </c>
      <c r="G407" s="277">
        <v>2</v>
      </c>
      <c r="H407" s="268">
        <f t="shared" si="333"/>
        <v>40.03</v>
      </c>
      <c r="I407" s="287">
        <v>7.65</v>
      </c>
      <c r="J407" s="268">
        <f t="shared" si="334"/>
        <v>9.7100000000000009</v>
      </c>
      <c r="K407" s="292">
        <v>32.380000000000003</v>
      </c>
      <c r="L407" s="268">
        <f t="shared" si="328"/>
        <v>41.08</v>
      </c>
      <c r="M407" s="268">
        <f t="shared" si="329"/>
        <v>50.79</v>
      </c>
      <c r="N407" s="268">
        <f t="shared" si="330"/>
        <v>19.420000000000002</v>
      </c>
      <c r="O407" s="268">
        <f t="shared" si="331"/>
        <v>82.16</v>
      </c>
      <c r="P407" s="268">
        <f t="shared" si="332"/>
        <v>101.58</v>
      </c>
      <c r="Q407" s="269">
        <f t="shared" si="335"/>
        <v>0</v>
      </c>
      <c r="R407" s="44"/>
      <c r="S407" s="49">
        <f t="shared" si="336"/>
        <v>80.06</v>
      </c>
      <c r="T407" s="44"/>
      <c r="U407" s="44"/>
      <c r="V407" s="44"/>
      <c r="W407" s="44"/>
      <c r="X407" s="44"/>
      <c r="Y407" s="44"/>
      <c r="Z407" s="44"/>
      <c r="AA407" s="44"/>
      <c r="AB407" s="44"/>
      <c r="AC407" s="44"/>
      <c r="AD407" s="44"/>
      <c r="AE407" s="44"/>
      <c r="AF407" s="44"/>
      <c r="AG407" s="44"/>
      <c r="AH407" s="44"/>
      <c r="AI407" s="44"/>
      <c r="AJ407" s="44"/>
      <c r="AK407" s="44"/>
      <c r="AL407" s="44"/>
    </row>
    <row r="408" spans="1:38" x14ac:dyDescent="0.25">
      <c r="A408" s="55"/>
      <c r="B408" s="265" t="s">
        <v>1567</v>
      </c>
      <c r="C408" s="266" t="s">
        <v>1568</v>
      </c>
      <c r="D408" s="265" t="s">
        <v>146</v>
      </c>
      <c r="E408" s="265" t="s">
        <v>1569</v>
      </c>
      <c r="F408" s="267" t="s">
        <v>168</v>
      </c>
      <c r="G408" s="277">
        <v>1</v>
      </c>
      <c r="H408" s="268">
        <v>727.68</v>
      </c>
      <c r="I408" s="287">
        <f>18+18.72+91.82+65.52</f>
        <v>194.06</v>
      </c>
      <c r="J408" s="268">
        <f t="shared" si="334"/>
        <v>246.2</v>
      </c>
      <c r="K408" s="292">
        <f>H408-I408</f>
        <v>533.62</v>
      </c>
      <c r="L408" s="268">
        <f t="shared" si="328"/>
        <v>677</v>
      </c>
      <c r="M408" s="268">
        <f t="shared" si="329"/>
        <v>923.2</v>
      </c>
      <c r="N408" s="268">
        <f t="shared" si="330"/>
        <v>246.2</v>
      </c>
      <c r="O408" s="268">
        <f t="shared" si="331"/>
        <v>677</v>
      </c>
      <c r="P408" s="268">
        <f t="shared" si="332"/>
        <v>923.2</v>
      </c>
      <c r="Q408" s="269">
        <f t="shared" si="335"/>
        <v>4.0000000000000002E-4</v>
      </c>
      <c r="R408" s="44"/>
      <c r="S408" s="49">
        <f t="shared" si="336"/>
        <v>727.68</v>
      </c>
      <c r="T408" s="44"/>
      <c r="U408" s="44"/>
      <c r="V408" s="44"/>
      <c r="W408" s="44"/>
      <c r="X408" s="44"/>
      <c r="Y408" s="44"/>
      <c r="Z408" s="44"/>
      <c r="AA408" s="44"/>
      <c r="AB408" s="44"/>
      <c r="AC408" s="44"/>
      <c r="AD408" s="44"/>
      <c r="AE408" s="44"/>
      <c r="AF408" s="44"/>
      <c r="AG408" s="44"/>
      <c r="AH408" s="44"/>
      <c r="AI408" s="44"/>
      <c r="AJ408" s="44"/>
      <c r="AK408" s="44"/>
      <c r="AL408" s="44"/>
    </row>
    <row r="409" spans="1:38" x14ac:dyDescent="0.25">
      <c r="A409" s="55"/>
      <c r="B409" s="265" t="s">
        <v>1570</v>
      </c>
      <c r="C409" s="266" t="s">
        <v>1571</v>
      </c>
      <c r="D409" s="265" t="s">
        <v>584</v>
      </c>
      <c r="E409" s="265" t="s">
        <v>1572</v>
      </c>
      <c r="F409" s="267" t="s">
        <v>585</v>
      </c>
      <c r="G409" s="277">
        <v>1</v>
      </c>
      <c r="H409" s="268">
        <v>538.51</v>
      </c>
      <c r="I409" s="287">
        <v>88.84</v>
      </c>
      <c r="J409" s="268">
        <f t="shared" si="334"/>
        <v>112.71</v>
      </c>
      <c r="K409" s="292">
        <f>H409-I409</f>
        <v>449.67</v>
      </c>
      <c r="L409" s="268">
        <f t="shared" si="328"/>
        <v>570.5</v>
      </c>
      <c r="M409" s="268">
        <f t="shared" si="329"/>
        <v>683.21</v>
      </c>
      <c r="N409" s="268">
        <f t="shared" si="330"/>
        <v>112.71</v>
      </c>
      <c r="O409" s="268">
        <f t="shared" si="331"/>
        <v>570.5</v>
      </c>
      <c r="P409" s="268">
        <f t="shared" si="332"/>
        <v>683.21</v>
      </c>
      <c r="Q409" s="269">
        <f t="shared" si="335"/>
        <v>2.9999999999999997E-4</v>
      </c>
      <c r="R409" s="44"/>
      <c r="S409" s="49">
        <f t="shared" si="336"/>
        <v>538.51</v>
      </c>
      <c r="T409" s="44"/>
      <c r="U409" s="44"/>
      <c r="V409" s="44"/>
      <c r="W409" s="44"/>
      <c r="X409" s="44"/>
      <c r="Y409" s="44"/>
      <c r="Z409" s="44"/>
      <c r="AA409" s="44"/>
      <c r="AB409" s="44"/>
      <c r="AC409" s="44"/>
      <c r="AD409" s="44"/>
      <c r="AE409" s="44"/>
      <c r="AF409" s="44"/>
      <c r="AG409" s="44"/>
      <c r="AH409" s="44"/>
      <c r="AI409" s="44"/>
      <c r="AJ409" s="44"/>
      <c r="AK409" s="44"/>
      <c r="AL409" s="44"/>
    </row>
    <row r="410" spans="1:38" ht="27.6" x14ac:dyDescent="0.25">
      <c r="A410" s="55"/>
      <c r="B410" s="265" t="s">
        <v>1573</v>
      </c>
      <c r="C410" s="266" t="s">
        <v>1574</v>
      </c>
      <c r="D410" s="265" t="s">
        <v>199</v>
      </c>
      <c r="E410" s="265" t="s">
        <v>1575</v>
      </c>
      <c r="F410" s="267" t="s">
        <v>168</v>
      </c>
      <c r="G410" s="277">
        <v>1</v>
      </c>
      <c r="H410" s="268">
        <v>844.46</v>
      </c>
      <c r="I410" s="287">
        <f>37.14+54.16+45.22</f>
        <v>136.52000000000001</v>
      </c>
      <c r="J410" s="268">
        <f t="shared" si="334"/>
        <v>173.2</v>
      </c>
      <c r="K410" s="292">
        <f>H410-I410</f>
        <v>707.94</v>
      </c>
      <c r="L410" s="268">
        <f t="shared" si="328"/>
        <v>898.16</v>
      </c>
      <c r="M410" s="268">
        <f t="shared" si="329"/>
        <v>1071.3599999999999</v>
      </c>
      <c r="N410" s="268">
        <f t="shared" si="330"/>
        <v>173.2</v>
      </c>
      <c r="O410" s="268">
        <f t="shared" si="331"/>
        <v>898.16</v>
      </c>
      <c r="P410" s="268">
        <f t="shared" si="332"/>
        <v>1071.3599999999999</v>
      </c>
      <c r="Q410" s="269">
        <f t="shared" si="335"/>
        <v>4.0000000000000002E-4</v>
      </c>
      <c r="R410" s="44"/>
      <c r="S410" s="49">
        <f t="shared" si="336"/>
        <v>844.46</v>
      </c>
      <c r="T410" s="44"/>
      <c r="U410" s="44"/>
      <c r="V410" s="44"/>
      <c r="W410" s="44"/>
      <c r="X410" s="44"/>
      <c r="Y410" s="44"/>
      <c r="Z410" s="44"/>
      <c r="AA410" s="44"/>
      <c r="AB410" s="44"/>
      <c r="AC410" s="44"/>
      <c r="AD410" s="44"/>
      <c r="AE410" s="44"/>
      <c r="AF410" s="44"/>
      <c r="AG410" s="44"/>
      <c r="AH410" s="44"/>
      <c r="AI410" s="44"/>
      <c r="AJ410" s="44"/>
      <c r="AK410" s="44"/>
      <c r="AL410" s="44"/>
    </row>
    <row r="411" spans="1:38" ht="27.6" x14ac:dyDescent="0.25">
      <c r="A411" s="55"/>
      <c r="B411" s="265" t="s">
        <v>1576</v>
      </c>
      <c r="C411" s="266" t="s">
        <v>1577</v>
      </c>
      <c r="D411" s="265" t="s">
        <v>146</v>
      </c>
      <c r="E411" s="265" t="s">
        <v>1578</v>
      </c>
      <c r="F411" s="267" t="s">
        <v>168</v>
      </c>
      <c r="G411" s="277">
        <v>3</v>
      </c>
      <c r="H411" s="268">
        <v>1975.72</v>
      </c>
      <c r="I411" s="287">
        <f>42+10.64+16.38+214.26+53.56+57.33</f>
        <v>394.17</v>
      </c>
      <c r="J411" s="268">
        <f t="shared" si="334"/>
        <v>500.08</v>
      </c>
      <c r="K411" s="292">
        <f>H411-I411</f>
        <v>1581.55</v>
      </c>
      <c r="L411" s="268">
        <f t="shared" si="328"/>
        <v>2006.51</v>
      </c>
      <c r="M411" s="268">
        <f t="shared" si="329"/>
        <v>2506.59</v>
      </c>
      <c r="N411" s="268">
        <f t="shared" si="330"/>
        <v>1500.24</v>
      </c>
      <c r="O411" s="268">
        <f t="shared" si="331"/>
        <v>6019.53</v>
      </c>
      <c r="P411" s="268">
        <f t="shared" si="332"/>
        <v>7519.77</v>
      </c>
      <c r="Q411" s="269">
        <f t="shared" si="335"/>
        <v>3.0000000000000001E-3</v>
      </c>
      <c r="R411" s="44"/>
      <c r="S411" s="49">
        <f t="shared" si="336"/>
        <v>5927.16</v>
      </c>
      <c r="T411" s="44"/>
      <c r="U411" s="44"/>
      <c r="V411" s="44"/>
      <c r="W411" s="44"/>
      <c r="X411" s="44"/>
      <c r="Y411" s="44"/>
      <c r="Z411" s="44"/>
      <c r="AA411" s="44"/>
      <c r="AB411" s="44"/>
      <c r="AC411" s="44"/>
      <c r="AD411" s="44"/>
      <c r="AE411" s="44"/>
      <c r="AF411" s="44"/>
      <c r="AG411" s="44"/>
      <c r="AH411" s="44"/>
      <c r="AI411" s="44"/>
      <c r="AJ411" s="44"/>
      <c r="AK411" s="44"/>
      <c r="AL411" s="44"/>
    </row>
    <row r="412" spans="1:38" ht="27.6" x14ac:dyDescent="0.25">
      <c r="A412" s="55"/>
      <c r="B412" s="265" t="s">
        <v>1579</v>
      </c>
      <c r="C412" s="266" t="s">
        <v>1580</v>
      </c>
      <c r="D412" s="265" t="s">
        <v>40</v>
      </c>
      <c r="E412" s="265" t="s">
        <v>1581</v>
      </c>
      <c r="F412" s="267" t="s">
        <v>44</v>
      </c>
      <c r="G412" s="277">
        <v>1</v>
      </c>
      <c r="H412" s="268">
        <f t="shared" si="333"/>
        <v>1145.0899999999999</v>
      </c>
      <c r="I412" s="287">
        <v>24.51</v>
      </c>
      <c r="J412" s="268">
        <f t="shared" si="334"/>
        <v>31.1</v>
      </c>
      <c r="K412" s="292">
        <v>1120.58</v>
      </c>
      <c r="L412" s="268">
        <f t="shared" si="328"/>
        <v>1421.68</v>
      </c>
      <c r="M412" s="268">
        <f t="shared" si="329"/>
        <v>1452.78</v>
      </c>
      <c r="N412" s="268">
        <f t="shared" si="330"/>
        <v>31.1</v>
      </c>
      <c r="O412" s="268">
        <f t="shared" si="331"/>
        <v>1421.68</v>
      </c>
      <c r="P412" s="268">
        <f t="shared" si="332"/>
        <v>1452.78</v>
      </c>
      <c r="Q412" s="269">
        <f t="shared" si="335"/>
        <v>5.9999999999999995E-4</v>
      </c>
      <c r="R412" s="44"/>
      <c r="S412" s="49">
        <f t="shared" si="336"/>
        <v>1145.0899999999999</v>
      </c>
      <c r="T412" s="44"/>
      <c r="U412" s="44"/>
      <c r="V412" s="44"/>
      <c r="W412" s="44"/>
      <c r="X412" s="44"/>
      <c r="Y412" s="44"/>
      <c r="Z412" s="44"/>
      <c r="AA412" s="44"/>
      <c r="AB412" s="44"/>
      <c r="AC412" s="44"/>
      <c r="AD412" s="44"/>
      <c r="AE412" s="44"/>
      <c r="AF412" s="44"/>
      <c r="AG412" s="44"/>
      <c r="AH412" s="44"/>
      <c r="AI412" s="44"/>
      <c r="AJ412" s="44"/>
      <c r="AK412" s="44"/>
      <c r="AL412" s="44"/>
    </row>
    <row r="413" spans="1:38" x14ac:dyDescent="0.25">
      <c r="A413" s="55"/>
      <c r="B413" s="265" t="s">
        <v>1582</v>
      </c>
      <c r="C413" s="266" t="s">
        <v>1583</v>
      </c>
      <c r="D413" s="265" t="s">
        <v>51</v>
      </c>
      <c r="E413" s="265" t="s">
        <v>1584</v>
      </c>
      <c r="F413" s="267" t="s">
        <v>44</v>
      </c>
      <c r="G413" s="277">
        <v>1</v>
      </c>
      <c r="H413" s="268">
        <v>1245.1099999999999</v>
      </c>
      <c r="I413" s="287">
        <f>65.3+82.92</f>
        <v>148.22</v>
      </c>
      <c r="J413" s="268">
        <f t="shared" si="334"/>
        <v>188.05</v>
      </c>
      <c r="K413" s="292">
        <f>H413-I413</f>
        <v>1096.8900000000001</v>
      </c>
      <c r="L413" s="268">
        <f t="shared" si="328"/>
        <v>1391.62</v>
      </c>
      <c r="M413" s="268">
        <f t="shared" si="329"/>
        <v>1579.67</v>
      </c>
      <c r="N413" s="268">
        <f t="shared" si="330"/>
        <v>188.05</v>
      </c>
      <c r="O413" s="268">
        <f t="shared" si="331"/>
        <v>1391.62</v>
      </c>
      <c r="P413" s="268">
        <f t="shared" si="332"/>
        <v>1579.67</v>
      </c>
      <c r="Q413" s="269">
        <f t="shared" si="335"/>
        <v>5.9999999999999995E-4</v>
      </c>
      <c r="R413" s="44"/>
      <c r="S413" s="49">
        <f t="shared" si="336"/>
        <v>1245.1099999999999</v>
      </c>
      <c r="T413" s="44"/>
      <c r="U413" s="44"/>
      <c r="V413" s="44"/>
      <c r="W413" s="44"/>
      <c r="X413" s="44"/>
      <c r="Y413" s="44"/>
      <c r="Z413" s="44"/>
      <c r="AA413" s="44"/>
      <c r="AB413" s="44"/>
      <c r="AC413" s="44"/>
      <c r="AD413" s="44"/>
      <c r="AE413" s="44"/>
      <c r="AF413" s="44"/>
      <c r="AG413" s="44"/>
      <c r="AH413" s="44"/>
      <c r="AI413" s="44"/>
      <c r="AJ413" s="44"/>
      <c r="AK413" s="44"/>
      <c r="AL413" s="44"/>
    </row>
    <row r="414" spans="1:38" x14ac:dyDescent="0.25">
      <c r="A414" s="55"/>
      <c r="B414" s="265" t="s">
        <v>1585</v>
      </c>
      <c r="C414" s="266" t="s">
        <v>688</v>
      </c>
      <c r="D414" s="265" t="s">
        <v>51</v>
      </c>
      <c r="E414" s="265" t="s">
        <v>689</v>
      </c>
      <c r="F414" s="267" t="s">
        <v>44</v>
      </c>
      <c r="G414" s="277">
        <v>4</v>
      </c>
      <c r="H414" s="268">
        <v>209.66</v>
      </c>
      <c r="I414" s="287">
        <f>20.04+25.45</f>
        <v>45.49</v>
      </c>
      <c r="J414" s="268">
        <f t="shared" si="334"/>
        <v>57.71</v>
      </c>
      <c r="K414" s="292">
        <f>H414-I414</f>
        <v>164.17</v>
      </c>
      <c r="L414" s="268">
        <f t="shared" si="328"/>
        <v>208.28</v>
      </c>
      <c r="M414" s="268">
        <f t="shared" si="329"/>
        <v>265.99</v>
      </c>
      <c r="N414" s="268">
        <f t="shared" si="330"/>
        <v>230.84</v>
      </c>
      <c r="O414" s="268">
        <f t="shared" si="331"/>
        <v>833.12</v>
      </c>
      <c r="P414" s="268">
        <f t="shared" si="332"/>
        <v>1063.96</v>
      </c>
      <c r="Q414" s="269">
        <f t="shared" si="335"/>
        <v>4.0000000000000002E-4</v>
      </c>
      <c r="R414" s="44"/>
      <c r="S414" s="49">
        <f t="shared" si="336"/>
        <v>838.64</v>
      </c>
      <c r="T414" s="44"/>
      <c r="U414" s="44"/>
      <c r="V414" s="44"/>
      <c r="W414" s="44"/>
      <c r="X414" s="44"/>
      <c r="Y414" s="44"/>
      <c r="Z414" s="44"/>
      <c r="AA414" s="44"/>
      <c r="AB414" s="44"/>
      <c r="AC414" s="44"/>
      <c r="AD414" s="44"/>
      <c r="AE414" s="44"/>
      <c r="AF414" s="44"/>
      <c r="AG414" s="44"/>
      <c r="AH414" s="44"/>
      <c r="AI414" s="44"/>
      <c r="AJ414" s="44"/>
      <c r="AK414" s="44"/>
      <c r="AL414" s="44"/>
    </row>
    <row r="415" spans="1:38" x14ac:dyDescent="0.25">
      <c r="A415" s="55"/>
      <c r="B415" s="261" t="s">
        <v>790</v>
      </c>
      <c r="C415" s="261"/>
      <c r="D415" s="261"/>
      <c r="E415" s="261" t="s">
        <v>274</v>
      </c>
      <c r="F415" s="261"/>
      <c r="G415" s="276"/>
      <c r="H415" s="262"/>
      <c r="I415" s="286"/>
      <c r="J415" s="261"/>
      <c r="K415" s="291"/>
      <c r="L415" s="261"/>
      <c r="M415" s="261"/>
      <c r="N415" s="261"/>
      <c r="O415" s="261"/>
      <c r="P415" s="263"/>
      <c r="Q415" s="263"/>
      <c r="R415" s="44"/>
      <c r="S415" s="49">
        <f t="shared" si="336"/>
        <v>0</v>
      </c>
      <c r="T415" s="44"/>
      <c r="U415" s="44"/>
      <c r="V415" s="44"/>
      <c r="W415" s="44"/>
      <c r="X415" s="44"/>
      <c r="Y415" s="44"/>
      <c r="Z415" s="44"/>
      <c r="AA415" s="44"/>
      <c r="AB415" s="44"/>
      <c r="AC415" s="44"/>
      <c r="AD415" s="44"/>
      <c r="AE415" s="44"/>
      <c r="AF415" s="44"/>
      <c r="AG415" s="44"/>
      <c r="AH415" s="44"/>
      <c r="AI415" s="44"/>
      <c r="AJ415" s="44"/>
      <c r="AK415" s="44"/>
      <c r="AL415" s="44"/>
    </row>
    <row r="416" spans="1:38" ht="27.6" x14ac:dyDescent="0.25">
      <c r="A416" s="55"/>
      <c r="B416" s="265" t="s">
        <v>845</v>
      </c>
      <c r="C416" s="266" t="s">
        <v>277</v>
      </c>
      <c r="D416" s="265" t="s">
        <v>40</v>
      </c>
      <c r="E416" s="265" t="s">
        <v>278</v>
      </c>
      <c r="F416" s="267" t="s">
        <v>44</v>
      </c>
      <c r="G416" s="277">
        <v>22</v>
      </c>
      <c r="H416" s="268">
        <f t="shared" si="333"/>
        <v>105.18</v>
      </c>
      <c r="I416" s="287">
        <v>13.57</v>
      </c>
      <c r="J416" s="268">
        <f t="shared" si="334"/>
        <v>17.22</v>
      </c>
      <c r="K416" s="292">
        <v>91.61</v>
      </c>
      <c r="L416" s="268">
        <f t="shared" si="328"/>
        <v>116.23</v>
      </c>
      <c r="M416" s="268">
        <f t="shared" ref="M416" si="337">L416+J416</f>
        <v>133.44999999999999</v>
      </c>
      <c r="N416" s="268">
        <f t="shared" ref="N416" si="338">J416*G416</f>
        <v>378.84</v>
      </c>
      <c r="O416" s="268">
        <f t="shared" ref="O416" si="339">L416*G416</f>
        <v>2557.06</v>
      </c>
      <c r="P416" s="268">
        <f t="shared" ref="P416" si="340">O416+N416</f>
        <v>2935.9</v>
      </c>
      <c r="Q416" s="269">
        <f t="shared" si="335"/>
        <v>1.1999999999999999E-3</v>
      </c>
      <c r="R416" s="44"/>
      <c r="S416" s="49">
        <f t="shared" si="336"/>
        <v>2313.96</v>
      </c>
      <c r="T416" s="44"/>
      <c r="U416" s="44"/>
      <c r="V416" s="44"/>
      <c r="W416" s="44"/>
      <c r="X416" s="44"/>
      <c r="Y416" s="44"/>
      <c r="Z416" s="44"/>
      <c r="AA416" s="44"/>
      <c r="AB416" s="44"/>
      <c r="AC416" s="44"/>
      <c r="AD416" s="44"/>
      <c r="AE416" s="44"/>
      <c r="AF416" s="44"/>
      <c r="AG416" s="44"/>
      <c r="AH416" s="44"/>
      <c r="AI416" s="44"/>
      <c r="AJ416" s="44"/>
      <c r="AK416" s="44"/>
      <c r="AL416" s="44"/>
    </row>
    <row r="417" spans="1:38" ht="27.6" x14ac:dyDescent="0.25">
      <c r="A417" s="55"/>
      <c r="B417" s="265" t="s">
        <v>846</v>
      </c>
      <c r="C417" s="266" t="s">
        <v>724</v>
      </c>
      <c r="D417" s="265" t="s">
        <v>199</v>
      </c>
      <c r="E417" s="265" t="s">
        <v>773</v>
      </c>
      <c r="F417" s="267" t="s">
        <v>168</v>
      </c>
      <c r="G417" s="277">
        <v>26</v>
      </c>
      <c r="H417" s="268">
        <v>322.36</v>
      </c>
      <c r="I417" s="287">
        <f>7.43+10.83</f>
        <v>18.260000000000002</v>
      </c>
      <c r="J417" s="268">
        <f t="shared" si="334"/>
        <v>23.17</v>
      </c>
      <c r="K417" s="292">
        <f>H417-I417</f>
        <v>304.10000000000002</v>
      </c>
      <c r="L417" s="268">
        <f t="shared" si="328"/>
        <v>385.81</v>
      </c>
      <c r="M417" s="268">
        <f t="shared" ref="M417:M421" si="341">L417+J417</f>
        <v>408.98</v>
      </c>
      <c r="N417" s="268">
        <f t="shared" ref="N417:N421" si="342">J417*G417</f>
        <v>602.41999999999996</v>
      </c>
      <c r="O417" s="268">
        <f t="shared" ref="O417:O421" si="343">L417*G417</f>
        <v>10031.06</v>
      </c>
      <c r="P417" s="268">
        <f t="shared" ref="P417:P421" si="344">O417+N417</f>
        <v>10633.48</v>
      </c>
      <c r="Q417" s="269">
        <f t="shared" si="335"/>
        <v>4.1999999999999997E-3</v>
      </c>
      <c r="R417" s="44"/>
      <c r="S417" s="49">
        <f t="shared" si="336"/>
        <v>8381.36</v>
      </c>
      <c r="T417" s="44"/>
      <c r="U417" s="44"/>
      <c r="V417" s="44"/>
      <c r="W417" s="44"/>
      <c r="X417" s="44"/>
      <c r="Y417" s="44"/>
      <c r="Z417" s="44"/>
      <c r="AA417" s="44"/>
      <c r="AB417" s="44"/>
      <c r="AC417" s="44"/>
      <c r="AD417" s="44"/>
      <c r="AE417" s="44"/>
      <c r="AF417" s="44"/>
      <c r="AG417" s="44"/>
      <c r="AH417" s="44"/>
      <c r="AI417" s="44"/>
      <c r="AJ417" s="44"/>
      <c r="AK417" s="44"/>
      <c r="AL417" s="44"/>
    </row>
    <row r="418" spans="1:38" x14ac:dyDescent="0.25">
      <c r="A418" s="55"/>
      <c r="B418" s="265" t="s">
        <v>847</v>
      </c>
      <c r="C418" s="266" t="s">
        <v>966</v>
      </c>
      <c r="D418" s="265" t="s">
        <v>51</v>
      </c>
      <c r="E418" s="265" t="s">
        <v>967</v>
      </c>
      <c r="F418" s="267" t="s">
        <v>44</v>
      </c>
      <c r="G418" s="277">
        <v>20</v>
      </c>
      <c r="H418" s="268">
        <v>53.9</v>
      </c>
      <c r="I418" s="287">
        <f>13.35+16.96</f>
        <v>30.31</v>
      </c>
      <c r="J418" s="268">
        <f t="shared" si="334"/>
        <v>38.450000000000003</v>
      </c>
      <c r="K418" s="292">
        <f>H418-I418</f>
        <v>23.59</v>
      </c>
      <c r="L418" s="268">
        <f t="shared" si="328"/>
        <v>29.93</v>
      </c>
      <c r="M418" s="268">
        <f t="shared" si="341"/>
        <v>68.38</v>
      </c>
      <c r="N418" s="268">
        <f t="shared" si="342"/>
        <v>769</v>
      </c>
      <c r="O418" s="268">
        <f t="shared" si="343"/>
        <v>598.6</v>
      </c>
      <c r="P418" s="268">
        <f t="shared" si="344"/>
        <v>1367.6</v>
      </c>
      <c r="Q418" s="269">
        <f t="shared" si="335"/>
        <v>5.0000000000000001E-4</v>
      </c>
      <c r="R418" s="44"/>
      <c r="S418" s="49">
        <f t="shared" si="336"/>
        <v>1078</v>
      </c>
      <c r="T418" s="44"/>
      <c r="U418" s="44"/>
      <c r="V418" s="44"/>
      <c r="W418" s="44"/>
      <c r="X418" s="44"/>
      <c r="Y418" s="44"/>
      <c r="Z418" s="44"/>
      <c r="AA418" s="44"/>
      <c r="AB418" s="44"/>
      <c r="AC418" s="44"/>
      <c r="AD418" s="44"/>
      <c r="AE418" s="44"/>
      <c r="AF418" s="44"/>
      <c r="AG418" s="44"/>
      <c r="AH418" s="44"/>
      <c r="AI418" s="44"/>
      <c r="AJ418" s="44"/>
      <c r="AK418" s="44"/>
      <c r="AL418" s="44"/>
    </row>
    <row r="419" spans="1:38" x14ac:dyDescent="0.25">
      <c r="A419" s="55"/>
      <c r="B419" s="265" t="s">
        <v>1104</v>
      </c>
      <c r="C419" s="266" t="s">
        <v>968</v>
      </c>
      <c r="D419" s="265" t="s">
        <v>146</v>
      </c>
      <c r="E419" s="265" t="s">
        <v>969</v>
      </c>
      <c r="F419" s="267" t="s">
        <v>168</v>
      </c>
      <c r="G419" s="277">
        <v>53</v>
      </c>
      <c r="H419" s="268">
        <v>213.2</v>
      </c>
      <c r="I419" s="287">
        <f>1.88+1.95+9.57+6.83</f>
        <v>20.23</v>
      </c>
      <c r="J419" s="268">
        <f t="shared" si="334"/>
        <v>25.67</v>
      </c>
      <c r="K419" s="292">
        <f>H419-I419</f>
        <v>192.97</v>
      </c>
      <c r="L419" s="268">
        <f t="shared" si="328"/>
        <v>244.82</v>
      </c>
      <c r="M419" s="268">
        <f t="shared" si="341"/>
        <v>270.49</v>
      </c>
      <c r="N419" s="268">
        <f t="shared" si="342"/>
        <v>1360.51</v>
      </c>
      <c r="O419" s="268">
        <f t="shared" si="343"/>
        <v>12975.46</v>
      </c>
      <c r="P419" s="268">
        <f t="shared" si="344"/>
        <v>14335.97</v>
      </c>
      <c r="Q419" s="269">
        <f t="shared" si="335"/>
        <v>5.7000000000000002E-3</v>
      </c>
      <c r="R419" s="44"/>
      <c r="S419" s="49">
        <f t="shared" si="336"/>
        <v>11299.6</v>
      </c>
      <c r="T419" s="44"/>
      <c r="U419" s="44"/>
      <c r="V419" s="44"/>
      <c r="W419" s="44"/>
      <c r="X419" s="44"/>
      <c r="Y419" s="44"/>
      <c r="Z419" s="44"/>
      <c r="AA419" s="44"/>
      <c r="AB419" s="44"/>
      <c r="AC419" s="44"/>
      <c r="AD419" s="44"/>
      <c r="AE419" s="44"/>
      <c r="AF419" s="44"/>
      <c r="AG419" s="44"/>
      <c r="AH419" s="44"/>
      <c r="AI419" s="44"/>
      <c r="AJ419" s="44"/>
      <c r="AK419" s="44"/>
      <c r="AL419" s="44"/>
    </row>
    <row r="420" spans="1:38" ht="27.6" x14ac:dyDescent="0.25">
      <c r="A420" s="55"/>
      <c r="B420" s="265" t="s">
        <v>1433</v>
      </c>
      <c r="C420" s="266" t="s">
        <v>277</v>
      </c>
      <c r="D420" s="265" t="s">
        <v>40</v>
      </c>
      <c r="E420" s="265" t="s">
        <v>278</v>
      </c>
      <c r="F420" s="267" t="s">
        <v>44</v>
      </c>
      <c r="G420" s="277">
        <v>24</v>
      </c>
      <c r="H420" s="268">
        <f t="shared" si="333"/>
        <v>105.18</v>
      </c>
      <c r="I420" s="287">
        <v>13.57</v>
      </c>
      <c r="J420" s="268">
        <f t="shared" si="334"/>
        <v>17.22</v>
      </c>
      <c r="K420" s="292">
        <v>91.61</v>
      </c>
      <c r="L420" s="268">
        <f t="shared" si="328"/>
        <v>116.23</v>
      </c>
      <c r="M420" s="268">
        <f t="shared" si="341"/>
        <v>133.44999999999999</v>
      </c>
      <c r="N420" s="268">
        <f t="shared" si="342"/>
        <v>413.28</v>
      </c>
      <c r="O420" s="268">
        <f t="shared" si="343"/>
        <v>2789.52</v>
      </c>
      <c r="P420" s="268">
        <f t="shared" si="344"/>
        <v>3202.8</v>
      </c>
      <c r="Q420" s="269">
        <f t="shared" si="335"/>
        <v>1.2999999999999999E-3</v>
      </c>
      <c r="R420" s="44"/>
      <c r="S420" s="49">
        <f t="shared" si="336"/>
        <v>2524.3200000000002</v>
      </c>
      <c r="T420" s="44"/>
      <c r="U420" s="44"/>
      <c r="V420" s="44"/>
      <c r="W420" s="44"/>
      <c r="X420" s="44"/>
      <c r="Y420" s="44"/>
      <c r="Z420" s="44"/>
      <c r="AA420" s="44"/>
      <c r="AB420" s="44"/>
      <c r="AC420" s="44"/>
      <c r="AD420" s="44"/>
      <c r="AE420" s="44"/>
      <c r="AF420" s="44"/>
      <c r="AG420" s="44"/>
      <c r="AH420" s="44"/>
      <c r="AI420" s="44"/>
      <c r="AJ420" s="44"/>
      <c r="AK420" s="44"/>
      <c r="AL420" s="44"/>
    </row>
    <row r="421" spans="1:38" ht="27.6" x14ac:dyDescent="0.25">
      <c r="A421" s="55"/>
      <c r="B421" s="265" t="s">
        <v>1586</v>
      </c>
      <c r="C421" s="266" t="s">
        <v>1587</v>
      </c>
      <c r="D421" s="265" t="s">
        <v>199</v>
      </c>
      <c r="E421" s="265" t="s">
        <v>1588</v>
      </c>
      <c r="F421" s="267" t="s">
        <v>44</v>
      </c>
      <c r="G421" s="277">
        <v>8</v>
      </c>
      <c r="H421" s="268">
        <v>112.49</v>
      </c>
      <c r="I421" s="287">
        <f>18.57+13.54</f>
        <v>32.11</v>
      </c>
      <c r="J421" s="268">
        <f t="shared" si="334"/>
        <v>40.74</v>
      </c>
      <c r="K421" s="292">
        <f>H421-I421</f>
        <v>80.38</v>
      </c>
      <c r="L421" s="268">
        <f t="shared" si="328"/>
        <v>101.98</v>
      </c>
      <c r="M421" s="268">
        <f t="shared" si="341"/>
        <v>142.72</v>
      </c>
      <c r="N421" s="268">
        <f t="shared" si="342"/>
        <v>325.92</v>
      </c>
      <c r="O421" s="268">
        <f t="shared" si="343"/>
        <v>815.84</v>
      </c>
      <c r="P421" s="268">
        <f t="shared" si="344"/>
        <v>1141.76</v>
      </c>
      <c r="Q421" s="269">
        <f t="shared" si="335"/>
        <v>5.0000000000000001E-4</v>
      </c>
      <c r="R421" s="44"/>
      <c r="S421" s="49">
        <f t="shared" si="336"/>
        <v>899.92</v>
      </c>
      <c r="T421" s="44"/>
      <c r="U421" s="44"/>
      <c r="V421" s="44"/>
      <c r="W421" s="44"/>
      <c r="X421" s="44"/>
      <c r="Y421" s="44"/>
      <c r="Z421" s="44"/>
      <c r="AA421" s="44"/>
      <c r="AB421" s="44"/>
      <c r="AC421" s="44"/>
      <c r="AD421" s="44"/>
      <c r="AE421" s="44"/>
      <c r="AF421" s="44"/>
      <c r="AG421" s="44"/>
      <c r="AH421" s="44"/>
      <c r="AI421" s="44"/>
      <c r="AJ421" s="44"/>
      <c r="AK421" s="44"/>
      <c r="AL421" s="44"/>
    </row>
    <row r="422" spans="1:38" x14ac:dyDescent="0.25">
      <c r="A422" s="55"/>
      <c r="B422" s="261" t="s">
        <v>891</v>
      </c>
      <c r="C422" s="261"/>
      <c r="D422" s="261"/>
      <c r="E422" s="261" t="s">
        <v>726</v>
      </c>
      <c r="F422" s="261"/>
      <c r="G422" s="276"/>
      <c r="H422" s="262"/>
      <c r="I422" s="286"/>
      <c r="J422" s="261"/>
      <c r="K422" s="291"/>
      <c r="L422" s="261"/>
      <c r="M422" s="261"/>
      <c r="N422" s="261"/>
      <c r="O422" s="261"/>
      <c r="P422" s="263"/>
      <c r="Q422" s="263"/>
      <c r="R422" s="44"/>
      <c r="S422" s="49">
        <f t="shared" si="336"/>
        <v>0</v>
      </c>
      <c r="T422" s="44"/>
      <c r="U422" s="44"/>
      <c r="V422" s="44"/>
      <c r="W422" s="44"/>
      <c r="X422" s="44"/>
      <c r="Y422" s="44"/>
      <c r="Z422" s="44"/>
      <c r="AA422" s="44"/>
      <c r="AB422" s="44"/>
      <c r="AC422" s="44"/>
      <c r="AD422" s="44"/>
      <c r="AE422" s="44"/>
      <c r="AF422" s="44"/>
      <c r="AG422" s="44"/>
      <c r="AH422" s="44"/>
      <c r="AI422" s="44"/>
      <c r="AJ422" s="44"/>
      <c r="AK422" s="44"/>
      <c r="AL422" s="44"/>
    </row>
    <row r="423" spans="1:38" ht="27.6" x14ac:dyDescent="0.25">
      <c r="A423" s="55"/>
      <c r="B423" s="265" t="s">
        <v>892</v>
      </c>
      <c r="C423" s="266" t="s">
        <v>394</v>
      </c>
      <c r="D423" s="265" t="s">
        <v>146</v>
      </c>
      <c r="E423" s="265" t="s">
        <v>1135</v>
      </c>
      <c r="F423" s="267" t="s">
        <v>168</v>
      </c>
      <c r="G423" s="277">
        <v>1</v>
      </c>
      <c r="H423" s="268">
        <v>390.9</v>
      </c>
      <c r="I423" s="287">
        <f>5.63+28.7</f>
        <v>34.33</v>
      </c>
      <c r="J423" s="268">
        <f t="shared" si="334"/>
        <v>43.55</v>
      </c>
      <c r="K423" s="292">
        <f>H423-I423</f>
        <v>356.57</v>
      </c>
      <c r="L423" s="268">
        <f t="shared" si="328"/>
        <v>452.38</v>
      </c>
      <c r="M423" s="268">
        <f t="shared" ref="M423" si="345">L423+J423</f>
        <v>495.93</v>
      </c>
      <c r="N423" s="268">
        <f t="shared" ref="N423" si="346">J423*G423</f>
        <v>43.55</v>
      </c>
      <c r="O423" s="268">
        <f t="shared" ref="O423" si="347">L423*G423</f>
        <v>452.38</v>
      </c>
      <c r="P423" s="268">
        <f t="shared" ref="P423" si="348">O423+N423</f>
        <v>495.93</v>
      </c>
      <c r="Q423" s="269">
        <f t="shared" si="335"/>
        <v>2.0000000000000001E-4</v>
      </c>
      <c r="R423" s="44"/>
      <c r="S423" s="49">
        <f t="shared" si="336"/>
        <v>390.9</v>
      </c>
      <c r="T423" s="44"/>
      <c r="U423" s="44"/>
      <c r="V423" s="44"/>
      <c r="W423" s="44"/>
      <c r="X423" s="44"/>
      <c r="Y423" s="44"/>
      <c r="Z423" s="44"/>
      <c r="AA423" s="44"/>
      <c r="AB423" s="44"/>
      <c r="AC423" s="44"/>
      <c r="AD423" s="44"/>
      <c r="AE423" s="44"/>
      <c r="AF423" s="44"/>
      <c r="AG423" s="44"/>
      <c r="AH423" s="44"/>
      <c r="AI423" s="44"/>
      <c r="AJ423" s="44"/>
      <c r="AK423" s="44"/>
      <c r="AL423" s="44"/>
    </row>
    <row r="424" spans="1:38" ht="27.6" x14ac:dyDescent="0.25">
      <c r="A424" s="55"/>
      <c r="B424" s="265" t="s">
        <v>1108</v>
      </c>
      <c r="C424" s="266" t="s">
        <v>722</v>
      </c>
      <c r="D424" s="265" t="s">
        <v>40</v>
      </c>
      <c r="E424" s="265" t="s">
        <v>723</v>
      </c>
      <c r="F424" s="267" t="s">
        <v>44</v>
      </c>
      <c r="G424" s="277">
        <v>12</v>
      </c>
      <c r="H424" s="268">
        <f t="shared" si="333"/>
        <v>897.64</v>
      </c>
      <c r="I424" s="287">
        <v>212.12</v>
      </c>
      <c r="J424" s="268">
        <f t="shared" si="334"/>
        <v>269.12</v>
      </c>
      <c r="K424" s="292">
        <f>684.43+0.68+0.41</f>
        <v>685.52</v>
      </c>
      <c r="L424" s="268">
        <f t="shared" si="328"/>
        <v>869.72</v>
      </c>
      <c r="M424" s="268">
        <f t="shared" ref="M424:M433" si="349">L424+J424</f>
        <v>1138.8399999999999</v>
      </c>
      <c r="N424" s="268">
        <f t="shared" ref="N424:N433" si="350">J424*G424</f>
        <v>3229.44</v>
      </c>
      <c r="O424" s="268">
        <f t="shared" ref="O424:O433" si="351">L424*G424</f>
        <v>10436.64</v>
      </c>
      <c r="P424" s="268">
        <f t="shared" ref="P424:P433" si="352">O424+N424</f>
        <v>13666.08</v>
      </c>
      <c r="Q424" s="269">
        <f t="shared" si="335"/>
        <v>5.4000000000000003E-3</v>
      </c>
      <c r="R424" s="44"/>
      <c r="S424" s="49">
        <f t="shared" si="336"/>
        <v>10771.68</v>
      </c>
      <c r="T424" s="44"/>
      <c r="U424" s="44"/>
      <c r="V424" s="44"/>
      <c r="W424" s="44"/>
      <c r="X424" s="44"/>
      <c r="Y424" s="44"/>
      <c r="Z424" s="44"/>
      <c r="AA424" s="44"/>
      <c r="AB424" s="44"/>
      <c r="AC424" s="44"/>
      <c r="AD424" s="44"/>
      <c r="AE424" s="44"/>
      <c r="AF424" s="44"/>
      <c r="AG424" s="44"/>
      <c r="AH424" s="44"/>
      <c r="AI424" s="44"/>
      <c r="AJ424" s="44"/>
      <c r="AK424" s="44"/>
      <c r="AL424" s="44"/>
    </row>
    <row r="425" spans="1:38" ht="27.6" x14ac:dyDescent="0.25">
      <c r="A425" s="55"/>
      <c r="B425" s="265" t="s">
        <v>1109</v>
      </c>
      <c r="C425" s="266" t="s">
        <v>727</v>
      </c>
      <c r="D425" s="265" t="s">
        <v>40</v>
      </c>
      <c r="E425" s="265" t="s">
        <v>728</v>
      </c>
      <c r="F425" s="267" t="s">
        <v>44</v>
      </c>
      <c r="G425" s="277">
        <v>12</v>
      </c>
      <c r="H425" s="268">
        <f t="shared" si="333"/>
        <v>41.29</v>
      </c>
      <c r="I425" s="287">
        <v>5.21</v>
      </c>
      <c r="J425" s="268">
        <f t="shared" si="334"/>
        <v>6.61</v>
      </c>
      <c r="K425" s="292">
        <v>36.08</v>
      </c>
      <c r="L425" s="268">
        <f t="shared" si="328"/>
        <v>45.77</v>
      </c>
      <c r="M425" s="268">
        <f t="shared" si="349"/>
        <v>52.38</v>
      </c>
      <c r="N425" s="268">
        <f t="shared" si="350"/>
        <v>79.319999999999993</v>
      </c>
      <c r="O425" s="268">
        <f t="shared" si="351"/>
        <v>549.24</v>
      </c>
      <c r="P425" s="268">
        <f t="shared" si="352"/>
        <v>628.55999999999995</v>
      </c>
      <c r="Q425" s="269">
        <f t="shared" si="335"/>
        <v>2.0000000000000001E-4</v>
      </c>
      <c r="R425" s="44"/>
      <c r="S425" s="49">
        <f t="shared" si="336"/>
        <v>495.48</v>
      </c>
      <c r="T425" s="44"/>
      <c r="U425" s="44"/>
      <c r="V425" s="44"/>
      <c r="W425" s="44"/>
      <c r="X425" s="44"/>
      <c r="Y425" s="44"/>
      <c r="Z425" s="44"/>
      <c r="AA425" s="44"/>
      <c r="AB425" s="44"/>
      <c r="AC425" s="44"/>
      <c r="AD425" s="44"/>
      <c r="AE425" s="44"/>
      <c r="AF425" s="44"/>
      <c r="AG425" s="44"/>
      <c r="AH425" s="44"/>
      <c r="AI425" s="44"/>
      <c r="AJ425" s="44"/>
      <c r="AK425" s="44"/>
      <c r="AL425" s="44"/>
    </row>
    <row r="426" spans="1:38" x14ac:dyDescent="0.25">
      <c r="A426" s="55"/>
      <c r="B426" s="265" t="s">
        <v>1112</v>
      </c>
      <c r="C426" s="266" t="s">
        <v>1589</v>
      </c>
      <c r="D426" s="265" t="s">
        <v>51</v>
      </c>
      <c r="E426" s="265" t="s">
        <v>1590</v>
      </c>
      <c r="F426" s="267" t="s">
        <v>44</v>
      </c>
      <c r="G426" s="277">
        <v>12</v>
      </c>
      <c r="H426" s="268">
        <v>184.98</v>
      </c>
      <c r="I426" s="287">
        <f>25.55+32.45</f>
        <v>58</v>
      </c>
      <c r="J426" s="268">
        <f t="shared" si="334"/>
        <v>73.58</v>
      </c>
      <c r="K426" s="292">
        <f>H426-I426</f>
        <v>126.98</v>
      </c>
      <c r="L426" s="268">
        <f t="shared" si="328"/>
        <v>161.1</v>
      </c>
      <c r="M426" s="268">
        <f t="shared" si="349"/>
        <v>234.68</v>
      </c>
      <c r="N426" s="268">
        <f t="shared" si="350"/>
        <v>882.96</v>
      </c>
      <c r="O426" s="268">
        <f t="shared" si="351"/>
        <v>1933.2</v>
      </c>
      <c r="P426" s="268">
        <f t="shared" si="352"/>
        <v>2816.16</v>
      </c>
      <c r="Q426" s="269">
        <f t="shared" si="335"/>
        <v>1.1000000000000001E-3</v>
      </c>
      <c r="R426" s="44"/>
      <c r="S426" s="49">
        <f t="shared" si="336"/>
        <v>2219.7600000000002</v>
      </c>
      <c r="T426" s="44"/>
      <c r="U426" s="44"/>
      <c r="V426" s="44"/>
      <c r="W426" s="44"/>
      <c r="X426" s="44"/>
      <c r="Y426" s="44"/>
      <c r="Z426" s="44"/>
      <c r="AA426" s="44"/>
      <c r="AB426" s="44"/>
      <c r="AC426" s="44"/>
      <c r="AD426" s="44"/>
      <c r="AE426" s="44"/>
      <c r="AF426" s="44"/>
      <c r="AG426" s="44"/>
      <c r="AH426" s="44"/>
      <c r="AI426" s="44"/>
      <c r="AJ426" s="44"/>
      <c r="AK426" s="44"/>
      <c r="AL426" s="44"/>
    </row>
    <row r="427" spans="1:38" x14ac:dyDescent="0.25">
      <c r="A427" s="55"/>
      <c r="B427" s="265" t="s">
        <v>1113</v>
      </c>
      <c r="C427" s="266" t="s">
        <v>228</v>
      </c>
      <c r="D427" s="265" t="s">
        <v>40</v>
      </c>
      <c r="E427" s="265" t="s">
        <v>229</v>
      </c>
      <c r="F427" s="267" t="s">
        <v>44</v>
      </c>
      <c r="G427" s="277">
        <v>1</v>
      </c>
      <c r="H427" s="268">
        <f t="shared" si="333"/>
        <v>142.79</v>
      </c>
      <c r="I427" s="287">
        <v>4.55</v>
      </c>
      <c r="J427" s="268">
        <f t="shared" si="334"/>
        <v>5.77</v>
      </c>
      <c r="K427" s="292">
        <v>138.24</v>
      </c>
      <c r="L427" s="268">
        <f t="shared" si="328"/>
        <v>175.39</v>
      </c>
      <c r="M427" s="268">
        <f t="shared" si="349"/>
        <v>181.16</v>
      </c>
      <c r="N427" s="268">
        <f t="shared" si="350"/>
        <v>5.77</v>
      </c>
      <c r="O427" s="268">
        <f t="shared" si="351"/>
        <v>175.39</v>
      </c>
      <c r="P427" s="268">
        <f t="shared" si="352"/>
        <v>181.16</v>
      </c>
      <c r="Q427" s="269">
        <f t="shared" si="335"/>
        <v>1E-4</v>
      </c>
      <c r="R427" s="44"/>
      <c r="S427" s="49">
        <f t="shared" si="336"/>
        <v>142.79</v>
      </c>
      <c r="T427" s="44"/>
      <c r="U427" s="44"/>
      <c r="V427" s="44"/>
      <c r="W427" s="44"/>
      <c r="X427" s="44"/>
      <c r="Y427" s="44"/>
      <c r="Z427" s="44"/>
      <c r="AA427" s="44"/>
      <c r="AB427" s="44"/>
      <c r="AC427" s="44"/>
      <c r="AD427" s="44"/>
      <c r="AE427" s="44"/>
      <c r="AF427" s="44"/>
      <c r="AG427" s="44"/>
      <c r="AH427" s="44"/>
      <c r="AI427" s="44"/>
      <c r="AJ427" s="44"/>
      <c r="AK427" s="44"/>
      <c r="AL427" s="44"/>
    </row>
    <row r="428" spans="1:38" x14ac:dyDescent="0.25">
      <c r="A428" s="55"/>
      <c r="B428" s="265" t="s">
        <v>1114</v>
      </c>
      <c r="C428" s="266" t="s">
        <v>729</v>
      </c>
      <c r="D428" s="265" t="s">
        <v>40</v>
      </c>
      <c r="E428" s="265" t="s">
        <v>730</v>
      </c>
      <c r="F428" s="267" t="s">
        <v>44</v>
      </c>
      <c r="G428" s="277">
        <v>2</v>
      </c>
      <c r="H428" s="268">
        <f t="shared" si="333"/>
        <v>170.54</v>
      </c>
      <c r="I428" s="287">
        <v>5.63</v>
      </c>
      <c r="J428" s="268">
        <f t="shared" si="334"/>
        <v>7.14</v>
      </c>
      <c r="K428" s="292">
        <v>164.91</v>
      </c>
      <c r="L428" s="268">
        <f t="shared" si="328"/>
        <v>209.22</v>
      </c>
      <c r="M428" s="268">
        <f t="shared" si="349"/>
        <v>216.36</v>
      </c>
      <c r="N428" s="268">
        <f t="shared" si="350"/>
        <v>14.28</v>
      </c>
      <c r="O428" s="268">
        <f t="shared" si="351"/>
        <v>418.44</v>
      </c>
      <c r="P428" s="268">
        <f t="shared" si="352"/>
        <v>432.72</v>
      </c>
      <c r="Q428" s="269">
        <f t="shared" si="335"/>
        <v>2.0000000000000001E-4</v>
      </c>
      <c r="R428" s="44"/>
      <c r="S428" s="49">
        <f t="shared" si="336"/>
        <v>341.08</v>
      </c>
      <c r="T428" s="44"/>
      <c r="U428" s="44"/>
      <c r="V428" s="44"/>
      <c r="W428" s="44"/>
      <c r="X428" s="44"/>
      <c r="Y428" s="44"/>
      <c r="Z428" s="44"/>
      <c r="AA428" s="44"/>
      <c r="AB428" s="44"/>
      <c r="AC428" s="44"/>
      <c r="AD428" s="44"/>
      <c r="AE428" s="44"/>
      <c r="AF428" s="44"/>
      <c r="AG428" s="44"/>
      <c r="AH428" s="44"/>
      <c r="AI428" s="44"/>
      <c r="AJ428" s="44"/>
      <c r="AK428" s="44"/>
      <c r="AL428" s="44"/>
    </row>
    <row r="429" spans="1:38" x14ac:dyDescent="0.25">
      <c r="A429" s="55"/>
      <c r="B429" s="265" t="s">
        <v>1115</v>
      </c>
      <c r="C429" s="266" t="s">
        <v>731</v>
      </c>
      <c r="D429" s="265" t="s">
        <v>40</v>
      </c>
      <c r="E429" s="265" t="s">
        <v>732</v>
      </c>
      <c r="F429" s="267" t="s">
        <v>44</v>
      </c>
      <c r="G429" s="277">
        <v>31</v>
      </c>
      <c r="H429" s="268">
        <f t="shared" si="333"/>
        <v>26.5</v>
      </c>
      <c r="I429" s="287">
        <v>6.44</v>
      </c>
      <c r="J429" s="268">
        <f t="shared" si="334"/>
        <v>8.17</v>
      </c>
      <c r="K429" s="292">
        <v>20.059999999999999</v>
      </c>
      <c r="L429" s="268">
        <f t="shared" si="328"/>
        <v>25.45</v>
      </c>
      <c r="M429" s="268">
        <f t="shared" si="349"/>
        <v>33.619999999999997</v>
      </c>
      <c r="N429" s="268">
        <f t="shared" si="350"/>
        <v>253.27</v>
      </c>
      <c r="O429" s="268">
        <f t="shared" si="351"/>
        <v>788.95</v>
      </c>
      <c r="P429" s="268">
        <f t="shared" si="352"/>
        <v>1042.22</v>
      </c>
      <c r="Q429" s="269">
        <f t="shared" si="335"/>
        <v>4.0000000000000002E-4</v>
      </c>
      <c r="R429" s="44"/>
      <c r="S429" s="49">
        <f t="shared" si="336"/>
        <v>821.5</v>
      </c>
      <c r="T429" s="44"/>
      <c r="U429" s="44"/>
      <c r="V429" s="44"/>
      <c r="W429" s="44"/>
      <c r="X429" s="44"/>
      <c r="Y429" s="44"/>
      <c r="Z429" s="44"/>
      <c r="AA429" s="44"/>
      <c r="AB429" s="44"/>
      <c r="AC429" s="44"/>
      <c r="AD429" s="44"/>
      <c r="AE429" s="44"/>
      <c r="AF429" s="44"/>
      <c r="AG429" s="44"/>
      <c r="AH429" s="44"/>
      <c r="AI429" s="44"/>
      <c r="AJ429" s="44"/>
      <c r="AK429" s="44"/>
      <c r="AL429" s="44"/>
    </row>
    <row r="430" spans="1:38" x14ac:dyDescent="0.25">
      <c r="A430" s="55"/>
      <c r="B430" s="265" t="s">
        <v>1116</v>
      </c>
      <c r="C430" s="266" t="s">
        <v>224</v>
      </c>
      <c r="D430" s="265" t="s">
        <v>51</v>
      </c>
      <c r="E430" s="265" t="s">
        <v>225</v>
      </c>
      <c r="F430" s="267" t="s">
        <v>55</v>
      </c>
      <c r="G430" s="277">
        <v>325.60000000000002</v>
      </c>
      <c r="H430" s="268">
        <v>40.950000000000003</v>
      </c>
      <c r="I430" s="287">
        <f>0.47+0.59</f>
        <v>1.06</v>
      </c>
      <c r="J430" s="268">
        <f t="shared" si="334"/>
        <v>1.34</v>
      </c>
      <c r="K430" s="292">
        <f>H430-I430</f>
        <v>39.89</v>
      </c>
      <c r="L430" s="268">
        <f t="shared" si="328"/>
        <v>50.61</v>
      </c>
      <c r="M430" s="268">
        <f t="shared" si="349"/>
        <v>51.95</v>
      </c>
      <c r="N430" s="268">
        <f t="shared" si="350"/>
        <v>436.3</v>
      </c>
      <c r="O430" s="268">
        <f t="shared" si="351"/>
        <v>16478.62</v>
      </c>
      <c r="P430" s="268">
        <f t="shared" si="352"/>
        <v>16914.919999999998</v>
      </c>
      <c r="Q430" s="269">
        <f t="shared" si="335"/>
        <v>6.7000000000000002E-3</v>
      </c>
      <c r="R430" s="44"/>
      <c r="S430" s="49">
        <f t="shared" si="336"/>
        <v>13333.32</v>
      </c>
      <c r="T430" s="44"/>
      <c r="U430" s="44"/>
      <c r="V430" s="44"/>
      <c r="W430" s="44"/>
      <c r="X430" s="44"/>
      <c r="Y430" s="44"/>
      <c r="Z430" s="44"/>
      <c r="AA430" s="44"/>
      <c r="AB430" s="44"/>
      <c r="AC430" s="44"/>
      <c r="AD430" s="44"/>
      <c r="AE430" s="44"/>
      <c r="AF430" s="44"/>
      <c r="AG430" s="44"/>
      <c r="AH430" s="44"/>
      <c r="AI430" s="44"/>
      <c r="AJ430" s="44"/>
      <c r="AK430" s="44"/>
      <c r="AL430" s="44"/>
    </row>
    <row r="431" spans="1:38" x14ac:dyDescent="0.25">
      <c r="A431" s="55"/>
      <c r="B431" s="265" t="s">
        <v>1117</v>
      </c>
      <c r="C431" s="266" t="s">
        <v>226</v>
      </c>
      <c r="D431" s="265" t="s">
        <v>51</v>
      </c>
      <c r="E431" s="265" t="s">
        <v>227</v>
      </c>
      <c r="F431" s="267" t="s">
        <v>55</v>
      </c>
      <c r="G431" s="277">
        <v>132.5</v>
      </c>
      <c r="H431" s="268">
        <v>57.89</v>
      </c>
      <c r="I431" s="287">
        <f>0.47+0.59</f>
        <v>1.06</v>
      </c>
      <c r="J431" s="268">
        <f t="shared" si="334"/>
        <v>1.34</v>
      </c>
      <c r="K431" s="292">
        <f>H431-I431</f>
        <v>56.83</v>
      </c>
      <c r="L431" s="268">
        <f t="shared" si="328"/>
        <v>72.099999999999994</v>
      </c>
      <c r="M431" s="268">
        <f t="shared" si="349"/>
        <v>73.44</v>
      </c>
      <c r="N431" s="268">
        <f t="shared" si="350"/>
        <v>177.55</v>
      </c>
      <c r="O431" s="268">
        <f t="shared" si="351"/>
        <v>9553.25</v>
      </c>
      <c r="P431" s="268">
        <f t="shared" si="352"/>
        <v>9730.7999999999993</v>
      </c>
      <c r="Q431" s="269">
        <f t="shared" si="335"/>
        <v>3.8E-3</v>
      </c>
      <c r="R431" s="44"/>
      <c r="S431" s="49">
        <f t="shared" si="336"/>
        <v>7670.43</v>
      </c>
      <c r="T431" s="44"/>
      <c r="U431" s="44"/>
      <c r="V431" s="44"/>
      <c r="W431" s="44"/>
      <c r="X431" s="44"/>
      <c r="Y431" s="44"/>
      <c r="Z431" s="44"/>
      <c r="AA431" s="44"/>
      <c r="AB431" s="44"/>
      <c r="AC431" s="44"/>
      <c r="AD431" s="44"/>
      <c r="AE431" s="44"/>
      <c r="AF431" s="44"/>
      <c r="AG431" s="44"/>
      <c r="AH431" s="44"/>
      <c r="AI431" s="44"/>
      <c r="AJ431" s="44"/>
      <c r="AK431" s="44"/>
      <c r="AL431" s="44"/>
    </row>
    <row r="432" spans="1:38" ht="27.6" x14ac:dyDescent="0.25">
      <c r="A432" s="55"/>
      <c r="B432" s="265" t="s">
        <v>1118</v>
      </c>
      <c r="C432" s="266" t="s">
        <v>733</v>
      </c>
      <c r="D432" s="265" t="s">
        <v>40</v>
      </c>
      <c r="E432" s="265" t="s">
        <v>734</v>
      </c>
      <c r="F432" s="267" t="s">
        <v>44</v>
      </c>
      <c r="G432" s="277">
        <v>14</v>
      </c>
      <c r="H432" s="268">
        <f t="shared" si="333"/>
        <v>55.04</v>
      </c>
      <c r="I432" s="287">
        <v>25.27</v>
      </c>
      <c r="J432" s="268">
        <f t="shared" si="334"/>
        <v>32.06</v>
      </c>
      <c r="K432" s="292">
        <v>29.77</v>
      </c>
      <c r="L432" s="268">
        <f t="shared" si="328"/>
        <v>37.770000000000003</v>
      </c>
      <c r="M432" s="268">
        <f t="shared" si="349"/>
        <v>69.83</v>
      </c>
      <c r="N432" s="268">
        <f t="shared" si="350"/>
        <v>448.84</v>
      </c>
      <c r="O432" s="268">
        <f t="shared" si="351"/>
        <v>528.78</v>
      </c>
      <c r="P432" s="268">
        <f t="shared" si="352"/>
        <v>977.62</v>
      </c>
      <c r="Q432" s="269">
        <f t="shared" si="335"/>
        <v>4.0000000000000002E-4</v>
      </c>
      <c r="R432" s="44"/>
      <c r="S432" s="49">
        <f t="shared" si="336"/>
        <v>770.56</v>
      </c>
      <c r="T432" s="44"/>
      <c r="U432" s="44"/>
      <c r="V432" s="44"/>
      <c r="W432" s="44"/>
      <c r="X432" s="44"/>
      <c r="Y432" s="44"/>
      <c r="Z432" s="44"/>
      <c r="AA432" s="44"/>
      <c r="AB432" s="44"/>
      <c r="AC432" s="44"/>
      <c r="AD432" s="44"/>
      <c r="AE432" s="44"/>
      <c r="AF432" s="44"/>
      <c r="AG432" s="44"/>
      <c r="AH432" s="44"/>
      <c r="AI432" s="44"/>
      <c r="AJ432" s="44"/>
      <c r="AK432" s="44"/>
      <c r="AL432" s="44"/>
    </row>
    <row r="433" spans="1:38" x14ac:dyDescent="0.25">
      <c r="A433" s="55"/>
      <c r="B433" s="265" t="s">
        <v>1119</v>
      </c>
      <c r="C433" s="266" t="s">
        <v>735</v>
      </c>
      <c r="D433" s="265" t="s">
        <v>40</v>
      </c>
      <c r="E433" s="265" t="s">
        <v>736</v>
      </c>
      <c r="F433" s="267" t="s">
        <v>44</v>
      </c>
      <c r="G433" s="277">
        <v>20</v>
      </c>
      <c r="H433" s="268">
        <f t="shared" si="333"/>
        <v>7.52</v>
      </c>
      <c r="I433" s="287">
        <v>1.25</v>
      </c>
      <c r="J433" s="268">
        <f t="shared" si="334"/>
        <v>1.59</v>
      </c>
      <c r="K433" s="292">
        <v>6.27</v>
      </c>
      <c r="L433" s="268">
        <f t="shared" si="328"/>
        <v>7.95</v>
      </c>
      <c r="M433" s="268">
        <f t="shared" si="349"/>
        <v>9.5399999999999991</v>
      </c>
      <c r="N433" s="268">
        <f t="shared" si="350"/>
        <v>31.8</v>
      </c>
      <c r="O433" s="268">
        <f t="shared" si="351"/>
        <v>159</v>
      </c>
      <c r="P433" s="268">
        <f t="shared" si="352"/>
        <v>190.8</v>
      </c>
      <c r="Q433" s="269">
        <f t="shared" si="335"/>
        <v>1E-4</v>
      </c>
      <c r="R433" s="44"/>
      <c r="S433" s="49">
        <f t="shared" si="336"/>
        <v>150.4</v>
      </c>
      <c r="T433" s="44"/>
      <c r="U433" s="44"/>
      <c r="V433" s="44"/>
      <c r="W433" s="44"/>
      <c r="X433" s="44"/>
      <c r="Y433" s="44"/>
      <c r="Z433" s="44"/>
      <c r="AA433" s="44"/>
      <c r="AB433" s="44"/>
      <c r="AC433" s="44"/>
      <c r="AD433" s="44"/>
      <c r="AE433" s="44"/>
      <c r="AF433" s="44"/>
      <c r="AG433" s="44"/>
      <c r="AH433" s="44"/>
      <c r="AI433" s="44"/>
      <c r="AJ433" s="44"/>
      <c r="AK433" s="44"/>
      <c r="AL433" s="44"/>
    </row>
    <row r="434" spans="1:38" x14ac:dyDescent="0.25">
      <c r="A434" s="55"/>
      <c r="B434" s="261">
        <v>17</v>
      </c>
      <c r="C434" s="261"/>
      <c r="D434" s="261"/>
      <c r="E434" s="261" t="s">
        <v>294</v>
      </c>
      <c r="F434" s="261"/>
      <c r="G434" s="276"/>
      <c r="H434" s="262"/>
      <c r="I434" s="286"/>
      <c r="J434" s="261"/>
      <c r="K434" s="291"/>
      <c r="L434" s="261"/>
      <c r="M434" s="261"/>
      <c r="N434" s="261"/>
      <c r="O434" s="261"/>
      <c r="P434" s="263"/>
      <c r="Q434" s="263"/>
      <c r="R434" s="44"/>
      <c r="S434" s="49">
        <f t="shared" si="336"/>
        <v>0</v>
      </c>
      <c r="T434" s="44"/>
      <c r="U434" s="44"/>
      <c r="V434" s="44"/>
      <c r="W434" s="44"/>
      <c r="X434" s="44"/>
      <c r="Y434" s="44"/>
      <c r="Z434" s="44"/>
      <c r="AA434" s="44"/>
      <c r="AB434" s="44"/>
      <c r="AC434" s="44"/>
      <c r="AD434" s="44"/>
      <c r="AE434" s="44"/>
      <c r="AF434" s="44"/>
      <c r="AG434" s="44"/>
      <c r="AH434" s="44"/>
      <c r="AI434" s="44"/>
      <c r="AJ434" s="44"/>
      <c r="AK434" s="44"/>
      <c r="AL434" s="44"/>
    </row>
    <row r="435" spans="1:38" x14ac:dyDescent="0.25">
      <c r="A435" s="55"/>
      <c r="B435" s="261" t="s">
        <v>275</v>
      </c>
      <c r="C435" s="261"/>
      <c r="D435" s="261"/>
      <c r="E435" s="261" t="s">
        <v>674</v>
      </c>
      <c r="F435" s="261"/>
      <c r="G435" s="276"/>
      <c r="H435" s="262"/>
      <c r="I435" s="286"/>
      <c r="J435" s="261"/>
      <c r="K435" s="291"/>
      <c r="L435" s="261"/>
      <c r="M435" s="261"/>
      <c r="N435" s="261"/>
      <c r="O435" s="261"/>
      <c r="P435" s="263"/>
      <c r="Q435" s="263"/>
      <c r="R435" s="44"/>
      <c r="S435" s="49">
        <f t="shared" si="336"/>
        <v>0</v>
      </c>
      <c r="T435" s="44"/>
      <c r="U435" s="44"/>
      <c r="V435" s="44"/>
      <c r="W435" s="44"/>
      <c r="X435" s="44"/>
      <c r="Y435" s="44"/>
      <c r="Z435" s="44"/>
      <c r="AA435" s="44"/>
      <c r="AB435" s="44"/>
      <c r="AC435" s="44"/>
      <c r="AD435" s="44"/>
      <c r="AE435" s="44"/>
      <c r="AF435" s="44"/>
      <c r="AG435" s="44"/>
      <c r="AH435" s="44"/>
      <c r="AI435" s="44"/>
      <c r="AJ435" s="44"/>
      <c r="AK435" s="44"/>
      <c r="AL435" s="44"/>
    </row>
    <row r="436" spans="1:38" ht="27.6" x14ac:dyDescent="0.25">
      <c r="A436" s="55"/>
      <c r="B436" s="265" t="s">
        <v>588</v>
      </c>
      <c r="C436" s="266" t="s">
        <v>1136</v>
      </c>
      <c r="D436" s="265" t="s">
        <v>40</v>
      </c>
      <c r="E436" s="265" t="s">
        <v>1137</v>
      </c>
      <c r="F436" s="267" t="s">
        <v>55</v>
      </c>
      <c r="G436" s="277">
        <v>136</v>
      </c>
      <c r="H436" s="268">
        <f t="shared" ref="H436:H469" si="353">I436+K436</f>
        <v>30.38</v>
      </c>
      <c r="I436" s="287">
        <v>3.17</v>
      </c>
      <c r="J436" s="268">
        <f t="shared" si="334"/>
        <v>4.0199999999999996</v>
      </c>
      <c r="K436" s="292">
        <v>27.21</v>
      </c>
      <c r="L436" s="268">
        <f t="shared" ref="L436:L469" si="354">K436*(1+$M$9)</f>
        <v>34.520000000000003</v>
      </c>
      <c r="M436" s="268">
        <f t="shared" ref="M436" si="355">L436+J436</f>
        <v>38.54</v>
      </c>
      <c r="N436" s="268">
        <f t="shared" ref="N436" si="356">J436*G436</f>
        <v>546.72</v>
      </c>
      <c r="O436" s="268">
        <f t="shared" ref="O436" si="357">L436*G436</f>
        <v>4694.72</v>
      </c>
      <c r="P436" s="268">
        <f t="shared" ref="P436" si="358">O436+N436</f>
        <v>5241.4399999999996</v>
      </c>
      <c r="Q436" s="269">
        <f t="shared" si="335"/>
        <v>2.0999999999999999E-3</v>
      </c>
      <c r="R436" s="44"/>
      <c r="S436" s="49">
        <f t="shared" si="336"/>
        <v>4131.68</v>
      </c>
      <c r="T436" s="44"/>
      <c r="U436" s="44"/>
      <c r="V436" s="44"/>
      <c r="W436" s="44"/>
      <c r="X436" s="44"/>
      <c r="Y436" s="44"/>
      <c r="Z436" s="44"/>
      <c r="AA436" s="44"/>
      <c r="AB436" s="44"/>
      <c r="AC436" s="44"/>
      <c r="AD436" s="44"/>
      <c r="AE436" s="44"/>
      <c r="AF436" s="44"/>
      <c r="AG436" s="44"/>
      <c r="AH436" s="44"/>
      <c r="AI436" s="44"/>
      <c r="AJ436" s="44"/>
      <c r="AK436" s="44"/>
      <c r="AL436" s="44"/>
    </row>
    <row r="437" spans="1:38" ht="27.6" x14ac:dyDescent="0.25">
      <c r="A437" s="55"/>
      <c r="B437" s="265" t="s">
        <v>589</v>
      </c>
      <c r="C437" s="266" t="s">
        <v>1138</v>
      </c>
      <c r="D437" s="265" t="s">
        <v>40</v>
      </c>
      <c r="E437" s="265" t="s">
        <v>1139</v>
      </c>
      <c r="F437" s="267" t="s">
        <v>55</v>
      </c>
      <c r="G437" s="277">
        <v>32</v>
      </c>
      <c r="H437" s="268">
        <f t="shared" si="353"/>
        <v>47</v>
      </c>
      <c r="I437" s="287">
        <v>3.35</v>
      </c>
      <c r="J437" s="268">
        <f t="shared" si="334"/>
        <v>4.25</v>
      </c>
      <c r="K437" s="292">
        <v>43.65</v>
      </c>
      <c r="L437" s="268">
        <f t="shared" si="354"/>
        <v>55.38</v>
      </c>
      <c r="M437" s="268">
        <f t="shared" ref="M437:M447" si="359">L437+J437</f>
        <v>59.63</v>
      </c>
      <c r="N437" s="268">
        <f t="shared" ref="N437:N447" si="360">J437*G437</f>
        <v>136</v>
      </c>
      <c r="O437" s="268">
        <f t="shared" ref="O437:O447" si="361">L437*G437</f>
        <v>1772.16</v>
      </c>
      <c r="P437" s="268">
        <f t="shared" ref="P437:P447" si="362">O437+N437</f>
        <v>1908.16</v>
      </c>
      <c r="Q437" s="269">
        <f t="shared" si="335"/>
        <v>8.0000000000000004E-4</v>
      </c>
      <c r="R437" s="44"/>
      <c r="S437" s="49">
        <f t="shared" si="336"/>
        <v>1504</v>
      </c>
      <c r="T437" s="44"/>
      <c r="U437" s="44"/>
      <c r="V437" s="44"/>
      <c r="W437" s="44"/>
      <c r="X437" s="44"/>
      <c r="Y437" s="44"/>
      <c r="Z437" s="44"/>
      <c r="AA437" s="44"/>
      <c r="AB437" s="44"/>
      <c r="AC437" s="44"/>
      <c r="AD437" s="44"/>
      <c r="AE437" s="44"/>
      <c r="AF437" s="44"/>
      <c r="AG437" s="44"/>
      <c r="AH437" s="44"/>
      <c r="AI437" s="44"/>
      <c r="AJ437" s="44"/>
      <c r="AK437" s="44"/>
      <c r="AL437" s="44"/>
    </row>
    <row r="438" spans="1:38" ht="27.6" x14ac:dyDescent="0.25">
      <c r="A438" s="55"/>
      <c r="B438" s="265" t="s">
        <v>590</v>
      </c>
      <c r="C438" s="266" t="s">
        <v>1140</v>
      </c>
      <c r="D438" s="265" t="s">
        <v>40</v>
      </c>
      <c r="E438" s="265" t="s">
        <v>1141</v>
      </c>
      <c r="F438" s="267" t="s">
        <v>55</v>
      </c>
      <c r="G438" s="277">
        <v>122</v>
      </c>
      <c r="H438" s="268">
        <f t="shared" si="353"/>
        <v>59.12</v>
      </c>
      <c r="I438" s="287">
        <v>3.56</v>
      </c>
      <c r="J438" s="268">
        <f t="shared" si="334"/>
        <v>4.5199999999999996</v>
      </c>
      <c r="K438" s="292">
        <v>55.56</v>
      </c>
      <c r="L438" s="268">
        <f t="shared" si="354"/>
        <v>70.489999999999995</v>
      </c>
      <c r="M438" s="268">
        <f t="shared" si="359"/>
        <v>75.010000000000005</v>
      </c>
      <c r="N438" s="268">
        <f t="shared" si="360"/>
        <v>551.44000000000005</v>
      </c>
      <c r="O438" s="268">
        <f t="shared" si="361"/>
        <v>8599.7800000000007</v>
      </c>
      <c r="P438" s="268">
        <f t="shared" si="362"/>
        <v>9151.2199999999993</v>
      </c>
      <c r="Q438" s="269">
        <f t="shared" si="335"/>
        <v>3.5999999999999999E-3</v>
      </c>
      <c r="R438" s="44"/>
      <c r="S438" s="49">
        <f t="shared" si="336"/>
        <v>7212.64</v>
      </c>
      <c r="T438" s="44"/>
      <c r="U438" s="44"/>
      <c r="V438" s="44"/>
      <c r="W438" s="44"/>
      <c r="X438" s="44"/>
      <c r="Y438" s="44"/>
      <c r="Z438" s="44"/>
      <c r="AA438" s="44"/>
      <c r="AB438" s="44"/>
      <c r="AC438" s="44"/>
      <c r="AD438" s="44"/>
      <c r="AE438" s="44"/>
      <c r="AF438" s="44"/>
      <c r="AG438" s="44"/>
      <c r="AH438" s="44"/>
      <c r="AI438" s="44"/>
      <c r="AJ438" s="44"/>
      <c r="AK438" s="44"/>
      <c r="AL438" s="44"/>
    </row>
    <row r="439" spans="1:38" ht="27.6" x14ac:dyDescent="0.25">
      <c r="A439" s="55"/>
      <c r="B439" s="265" t="s">
        <v>593</v>
      </c>
      <c r="C439" s="266" t="s">
        <v>738</v>
      </c>
      <c r="D439" s="265" t="s">
        <v>40</v>
      </c>
      <c r="E439" s="265" t="s">
        <v>1142</v>
      </c>
      <c r="F439" s="267" t="s">
        <v>55</v>
      </c>
      <c r="G439" s="277">
        <v>18</v>
      </c>
      <c r="H439" s="268">
        <f t="shared" si="353"/>
        <v>66.7</v>
      </c>
      <c r="I439" s="287">
        <v>2.1</v>
      </c>
      <c r="J439" s="268">
        <f t="shared" si="334"/>
        <v>2.66</v>
      </c>
      <c r="K439" s="292">
        <v>64.599999999999994</v>
      </c>
      <c r="L439" s="268">
        <f t="shared" si="354"/>
        <v>81.96</v>
      </c>
      <c r="M439" s="268">
        <f t="shared" si="359"/>
        <v>84.62</v>
      </c>
      <c r="N439" s="268">
        <f t="shared" si="360"/>
        <v>47.88</v>
      </c>
      <c r="O439" s="268">
        <f t="shared" si="361"/>
        <v>1475.28</v>
      </c>
      <c r="P439" s="268">
        <f t="shared" si="362"/>
        <v>1523.16</v>
      </c>
      <c r="Q439" s="269">
        <f t="shared" si="335"/>
        <v>5.9999999999999995E-4</v>
      </c>
      <c r="R439" s="44"/>
      <c r="S439" s="49">
        <f t="shared" si="336"/>
        <v>1200.5999999999999</v>
      </c>
      <c r="T439" s="44"/>
      <c r="U439" s="44"/>
      <c r="V439" s="44"/>
      <c r="W439" s="44"/>
      <c r="X439" s="44"/>
      <c r="Y439" s="44"/>
      <c r="Z439" s="44"/>
      <c r="AA439" s="44"/>
      <c r="AB439" s="44"/>
      <c r="AC439" s="44"/>
      <c r="AD439" s="44"/>
      <c r="AE439" s="44"/>
      <c r="AF439" s="44"/>
      <c r="AG439" s="44"/>
      <c r="AH439" s="44"/>
      <c r="AI439" s="44"/>
      <c r="AJ439" s="44"/>
      <c r="AK439" s="44"/>
      <c r="AL439" s="44"/>
    </row>
    <row r="440" spans="1:38" x14ac:dyDescent="0.25">
      <c r="A440" s="55"/>
      <c r="B440" s="265" t="s">
        <v>594</v>
      </c>
      <c r="C440" s="266" t="s">
        <v>1143</v>
      </c>
      <c r="D440" s="265" t="s">
        <v>146</v>
      </c>
      <c r="E440" s="265" t="s">
        <v>1144</v>
      </c>
      <c r="F440" s="267" t="s">
        <v>55</v>
      </c>
      <c r="G440" s="277">
        <v>185</v>
      </c>
      <c r="H440" s="268">
        <v>15.64</v>
      </c>
      <c r="I440" s="287">
        <f>0.41+0.43+2.1+1.5</f>
        <v>4.4400000000000004</v>
      </c>
      <c r="J440" s="268">
        <f t="shared" si="334"/>
        <v>5.63</v>
      </c>
      <c r="K440" s="292">
        <f t="shared" ref="K440:K446" si="363">H440-I440</f>
        <v>11.2</v>
      </c>
      <c r="L440" s="268">
        <f t="shared" si="354"/>
        <v>14.21</v>
      </c>
      <c r="M440" s="268">
        <f t="shared" si="359"/>
        <v>19.84</v>
      </c>
      <c r="N440" s="268">
        <f t="shared" si="360"/>
        <v>1041.55</v>
      </c>
      <c r="O440" s="268">
        <f t="shared" si="361"/>
        <v>2628.85</v>
      </c>
      <c r="P440" s="268">
        <f t="shared" si="362"/>
        <v>3670.4</v>
      </c>
      <c r="Q440" s="269">
        <f t="shared" si="335"/>
        <v>1.5E-3</v>
      </c>
      <c r="R440" s="44"/>
      <c r="S440" s="49">
        <f t="shared" si="336"/>
        <v>2893.4</v>
      </c>
      <c r="T440" s="44"/>
      <c r="U440" s="44"/>
      <c r="V440" s="44"/>
      <c r="W440" s="44"/>
      <c r="X440" s="44"/>
      <c r="Y440" s="44"/>
      <c r="Z440" s="44"/>
      <c r="AA440" s="44"/>
      <c r="AB440" s="44"/>
      <c r="AC440" s="44"/>
      <c r="AD440" s="44"/>
      <c r="AE440" s="44"/>
      <c r="AF440" s="44"/>
      <c r="AG440" s="44"/>
      <c r="AH440" s="44"/>
      <c r="AI440" s="44"/>
      <c r="AJ440" s="44"/>
      <c r="AK440" s="44"/>
      <c r="AL440" s="44"/>
    </row>
    <row r="441" spans="1:38" x14ac:dyDescent="0.25">
      <c r="A441" s="55"/>
      <c r="B441" s="265" t="s">
        <v>595</v>
      </c>
      <c r="C441" s="266" t="s">
        <v>1145</v>
      </c>
      <c r="D441" s="265" t="s">
        <v>51</v>
      </c>
      <c r="E441" s="265" t="s">
        <v>1146</v>
      </c>
      <c r="F441" s="267" t="s">
        <v>44</v>
      </c>
      <c r="G441" s="277">
        <v>20</v>
      </c>
      <c r="H441" s="268">
        <v>388.4</v>
      </c>
      <c r="I441" s="287">
        <f>17.03+25.59</f>
        <v>42.62</v>
      </c>
      <c r="J441" s="268">
        <f t="shared" si="334"/>
        <v>54.07</v>
      </c>
      <c r="K441" s="292">
        <f t="shared" si="363"/>
        <v>345.78</v>
      </c>
      <c r="L441" s="268">
        <f t="shared" si="354"/>
        <v>438.69</v>
      </c>
      <c r="M441" s="268">
        <f t="shared" si="359"/>
        <v>492.76</v>
      </c>
      <c r="N441" s="268">
        <f t="shared" si="360"/>
        <v>1081.4000000000001</v>
      </c>
      <c r="O441" s="268">
        <f t="shared" si="361"/>
        <v>8773.7999999999993</v>
      </c>
      <c r="P441" s="268">
        <f t="shared" si="362"/>
        <v>9855.2000000000007</v>
      </c>
      <c r="Q441" s="269">
        <f t="shared" si="335"/>
        <v>3.8999999999999998E-3</v>
      </c>
      <c r="R441" s="44"/>
      <c r="S441" s="49">
        <f t="shared" si="336"/>
        <v>7768</v>
      </c>
      <c r="T441" s="44"/>
      <c r="U441" s="44"/>
      <c r="V441" s="44"/>
      <c r="W441" s="44"/>
      <c r="X441" s="44"/>
      <c r="Y441" s="44"/>
      <c r="Z441" s="44"/>
      <c r="AA441" s="44"/>
      <c r="AB441" s="44"/>
      <c r="AC441" s="44"/>
      <c r="AD441" s="44"/>
      <c r="AE441" s="44"/>
      <c r="AF441" s="44"/>
      <c r="AG441" s="44"/>
      <c r="AH441" s="44"/>
      <c r="AI441" s="44"/>
      <c r="AJ441" s="44"/>
      <c r="AK441" s="44"/>
      <c r="AL441" s="44"/>
    </row>
    <row r="442" spans="1:38" ht="41.4" x14ac:dyDescent="0.25">
      <c r="A442" s="55"/>
      <c r="B442" s="265" t="s">
        <v>596</v>
      </c>
      <c r="C442" s="266" t="s">
        <v>880</v>
      </c>
      <c r="D442" s="265" t="s">
        <v>551</v>
      </c>
      <c r="E442" s="265" t="s">
        <v>1147</v>
      </c>
      <c r="F442" s="267" t="s">
        <v>65</v>
      </c>
      <c r="G442" s="277">
        <v>485</v>
      </c>
      <c r="H442" s="268">
        <v>67.08</v>
      </c>
      <c r="I442" s="287">
        <f>10.39+2.87+15.48</f>
        <v>28.74</v>
      </c>
      <c r="J442" s="268">
        <f t="shared" si="334"/>
        <v>36.46</v>
      </c>
      <c r="K442" s="292">
        <f t="shared" si="363"/>
        <v>38.340000000000003</v>
      </c>
      <c r="L442" s="268">
        <f t="shared" si="354"/>
        <v>48.64</v>
      </c>
      <c r="M442" s="268">
        <f t="shared" si="359"/>
        <v>85.1</v>
      </c>
      <c r="N442" s="268">
        <f t="shared" si="360"/>
        <v>17683.099999999999</v>
      </c>
      <c r="O442" s="268">
        <f t="shared" si="361"/>
        <v>23590.400000000001</v>
      </c>
      <c r="P442" s="268">
        <f t="shared" si="362"/>
        <v>41273.5</v>
      </c>
      <c r="Q442" s="269">
        <f t="shared" si="335"/>
        <v>1.6299999999999999E-2</v>
      </c>
      <c r="R442" s="44"/>
      <c r="S442" s="49">
        <f t="shared" si="336"/>
        <v>32533.8</v>
      </c>
      <c r="T442" s="44"/>
      <c r="U442" s="44"/>
      <c r="V442" s="44"/>
      <c r="W442" s="44"/>
      <c r="X442" s="44"/>
      <c r="Y442" s="44"/>
      <c r="Z442" s="44"/>
      <c r="AA442" s="44"/>
      <c r="AB442" s="44"/>
      <c r="AC442" s="44"/>
      <c r="AD442" s="44"/>
      <c r="AE442" s="44"/>
      <c r="AF442" s="44"/>
      <c r="AG442" s="44"/>
      <c r="AH442" s="44"/>
      <c r="AI442" s="44"/>
      <c r="AJ442" s="44"/>
      <c r="AK442" s="44"/>
      <c r="AL442" s="44"/>
    </row>
    <row r="443" spans="1:38" x14ac:dyDescent="0.25">
      <c r="A443" s="55"/>
      <c r="B443" s="265" t="s">
        <v>597</v>
      </c>
      <c r="C443" s="266" t="s">
        <v>881</v>
      </c>
      <c r="D443" s="265" t="s">
        <v>51</v>
      </c>
      <c r="E443" s="265" t="s">
        <v>882</v>
      </c>
      <c r="F443" s="267" t="s">
        <v>55</v>
      </c>
      <c r="G443" s="277">
        <v>12</v>
      </c>
      <c r="H443" s="268">
        <v>36.590000000000003</v>
      </c>
      <c r="I443" s="287">
        <f>5.34+6.78</f>
        <v>12.12</v>
      </c>
      <c r="J443" s="268">
        <f t="shared" si="334"/>
        <v>15.38</v>
      </c>
      <c r="K443" s="292">
        <f t="shared" si="363"/>
        <v>24.47</v>
      </c>
      <c r="L443" s="268">
        <f t="shared" si="354"/>
        <v>31.05</v>
      </c>
      <c r="M443" s="268">
        <f t="shared" si="359"/>
        <v>46.43</v>
      </c>
      <c r="N443" s="268">
        <f t="shared" si="360"/>
        <v>184.56</v>
      </c>
      <c r="O443" s="268">
        <f t="shared" si="361"/>
        <v>372.6</v>
      </c>
      <c r="P443" s="268">
        <f t="shared" si="362"/>
        <v>557.16</v>
      </c>
      <c r="Q443" s="269">
        <f t="shared" si="335"/>
        <v>2.0000000000000001E-4</v>
      </c>
      <c r="R443" s="44"/>
      <c r="S443" s="49">
        <f t="shared" si="336"/>
        <v>439.08</v>
      </c>
      <c r="T443" s="44"/>
      <c r="U443" s="44"/>
      <c r="V443" s="44"/>
      <c r="W443" s="44"/>
      <c r="X443" s="44"/>
      <c r="Y443" s="44"/>
      <c r="Z443" s="44"/>
      <c r="AA443" s="44"/>
      <c r="AB443" s="44"/>
      <c r="AC443" s="44"/>
      <c r="AD443" s="44"/>
      <c r="AE443" s="44"/>
      <c r="AF443" s="44"/>
      <c r="AG443" s="44"/>
      <c r="AH443" s="44"/>
      <c r="AI443" s="44"/>
      <c r="AJ443" s="44"/>
      <c r="AK443" s="44"/>
      <c r="AL443" s="44"/>
    </row>
    <row r="444" spans="1:38" x14ac:dyDescent="0.25">
      <c r="A444" s="55"/>
      <c r="B444" s="265" t="s">
        <v>599</v>
      </c>
      <c r="C444" s="266" t="s">
        <v>1148</v>
      </c>
      <c r="D444" s="265" t="s">
        <v>51</v>
      </c>
      <c r="E444" s="265" t="s">
        <v>1149</v>
      </c>
      <c r="F444" s="267" t="s">
        <v>55</v>
      </c>
      <c r="G444" s="277">
        <v>52</v>
      </c>
      <c r="H444" s="268">
        <v>28.36</v>
      </c>
      <c r="I444" s="287">
        <f>5.34+6.78</f>
        <v>12.12</v>
      </c>
      <c r="J444" s="268">
        <f t="shared" si="334"/>
        <v>15.38</v>
      </c>
      <c r="K444" s="292">
        <f t="shared" si="363"/>
        <v>16.239999999999998</v>
      </c>
      <c r="L444" s="268">
        <f t="shared" si="354"/>
        <v>20.6</v>
      </c>
      <c r="M444" s="268">
        <f t="shared" si="359"/>
        <v>35.979999999999997</v>
      </c>
      <c r="N444" s="268">
        <f t="shared" si="360"/>
        <v>799.76</v>
      </c>
      <c r="O444" s="268">
        <f t="shared" si="361"/>
        <v>1071.2</v>
      </c>
      <c r="P444" s="268">
        <f t="shared" si="362"/>
        <v>1870.96</v>
      </c>
      <c r="Q444" s="269">
        <f t="shared" si="335"/>
        <v>6.9999999999999999E-4</v>
      </c>
      <c r="R444" s="44"/>
      <c r="S444" s="49">
        <f t="shared" si="336"/>
        <v>1474.72</v>
      </c>
      <c r="T444" s="44"/>
      <c r="U444" s="44"/>
      <c r="V444" s="44"/>
      <c r="W444" s="44"/>
      <c r="X444" s="44"/>
      <c r="Y444" s="44"/>
      <c r="Z444" s="44"/>
      <c r="AA444" s="44"/>
      <c r="AB444" s="44"/>
      <c r="AC444" s="44"/>
      <c r="AD444" s="44"/>
      <c r="AE444" s="44"/>
      <c r="AF444" s="44"/>
      <c r="AG444" s="44"/>
      <c r="AH444" s="44"/>
      <c r="AI444" s="44"/>
      <c r="AJ444" s="44"/>
      <c r="AK444" s="44"/>
      <c r="AL444" s="44"/>
    </row>
    <row r="445" spans="1:38" x14ac:dyDescent="0.25">
      <c r="A445" s="55"/>
      <c r="B445" s="265" t="s">
        <v>600</v>
      </c>
      <c r="C445" s="266" t="s">
        <v>1150</v>
      </c>
      <c r="D445" s="265" t="s">
        <v>146</v>
      </c>
      <c r="E445" s="265" t="s">
        <v>1151</v>
      </c>
      <c r="F445" s="267" t="s">
        <v>168</v>
      </c>
      <c r="G445" s="277">
        <v>74</v>
      </c>
      <c r="H445" s="268">
        <v>84.69</v>
      </c>
      <c r="I445" s="287">
        <f>1.5+1.56+7.65+5.46</f>
        <v>16.170000000000002</v>
      </c>
      <c r="J445" s="268">
        <f t="shared" si="334"/>
        <v>20.51</v>
      </c>
      <c r="K445" s="292">
        <f t="shared" si="363"/>
        <v>68.52</v>
      </c>
      <c r="L445" s="268">
        <f t="shared" si="354"/>
        <v>86.93</v>
      </c>
      <c r="M445" s="268">
        <f t="shared" si="359"/>
        <v>107.44</v>
      </c>
      <c r="N445" s="268">
        <f t="shared" si="360"/>
        <v>1517.74</v>
      </c>
      <c r="O445" s="268">
        <f t="shared" si="361"/>
        <v>6432.82</v>
      </c>
      <c r="P445" s="268">
        <f t="shared" si="362"/>
        <v>7950.56</v>
      </c>
      <c r="Q445" s="269">
        <f t="shared" si="335"/>
        <v>3.0999999999999999E-3</v>
      </c>
      <c r="R445" s="44"/>
      <c r="S445" s="49">
        <f t="shared" si="336"/>
        <v>6267.06</v>
      </c>
      <c r="T445" s="44"/>
      <c r="U445" s="44"/>
      <c r="V445" s="44"/>
      <c r="W445" s="44"/>
      <c r="X445" s="44"/>
      <c r="Y445" s="44"/>
      <c r="Z445" s="44"/>
      <c r="AA445" s="44"/>
      <c r="AB445" s="44"/>
      <c r="AC445" s="44"/>
      <c r="AD445" s="44"/>
      <c r="AE445" s="44"/>
      <c r="AF445" s="44"/>
      <c r="AG445" s="44"/>
      <c r="AH445" s="44"/>
      <c r="AI445" s="44"/>
      <c r="AJ445" s="44"/>
      <c r="AK445" s="44"/>
      <c r="AL445" s="44"/>
    </row>
    <row r="446" spans="1:38" x14ac:dyDescent="0.25">
      <c r="A446" s="55"/>
      <c r="B446" s="265" t="s">
        <v>603</v>
      </c>
      <c r="C446" s="266" t="s">
        <v>1152</v>
      </c>
      <c r="D446" s="265" t="s">
        <v>146</v>
      </c>
      <c r="E446" s="265" t="s">
        <v>1153</v>
      </c>
      <c r="F446" s="267" t="s">
        <v>168</v>
      </c>
      <c r="G446" s="277">
        <v>48</v>
      </c>
      <c r="H446" s="268">
        <v>2.25</v>
      </c>
      <c r="I446" s="287">
        <f>0.19+0.2+0.96+0.68</f>
        <v>2.0299999999999998</v>
      </c>
      <c r="J446" s="268">
        <f t="shared" si="334"/>
        <v>2.58</v>
      </c>
      <c r="K446" s="292">
        <f t="shared" si="363"/>
        <v>0.22</v>
      </c>
      <c r="L446" s="268">
        <f t="shared" si="354"/>
        <v>0.28000000000000003</v>
      </c>
      <c r="M446" s="268">
        <f t="shared" si="359"/>
        <v>2.86</v>
      </c>
      <c r="N446" s="268">
        <f t="shared" si="360"/>
        <v>123.84</v>
      </c>
      <c r="O446" s="268">
        <f t="shared" si="361"/>
        <v>13.44</v>
      </c>
      <c r="P446" s="268">
        <f t="shared" si="362"/>
        <v>137.28</v>
      </c>
      <c r="Q446" s="269">
        <f t="shared" si="335"/>
        <v>1E-4</v>
      </c>
      <c r="R446" s="44"/>
      <c r="S446" s="49">
        <f t="shared" si="336"/>
        <v>108</v>
      </c>
      <c r="T446" s="44"/>
      <c r="U446" s="44"/>
      <c r="V446" s="44"/>
      <c r="W446" s="44"/>
      <c r="X446" s="44"/>
      <c r="Y446" s="44"/>
      <c r="Z446" s="44"/>
      <c r="AA446" s="44"/>
      <c r="AB446" s="44"/>
      <c r="AC446" s="44"/>
      <c r="AD446" s="44"/>
      <c r="AE446" s="44"/>
      <c r="AF446" s="44"/>
      <c r="AG446" s="44"/>
      <c r="AH446" s="44"/>
      <c r="AI446" s="44"/>
      <c r="AJ446" s="44"/>
      <c r="AK446" s="44"/>
      <c r="AL446" s="44"/>
    </row>
    <row r="447" spans="1:38" ht="27.6" x14ac:dyDescent="0.25">
      <c r="A447" s="55"/>
      <c r="B447" s="265" t="s">
        <v>604</v>
      </c>
      <c r="C447" s="266" t="s">
        <v>883</v>
      </c>
      <c r="D447" s="265" t="s">
        <v>40</v>
      </c>
      <c r="E447" s="265" t="s">
        <v>884</v>
      </c>
      <c r="F447" s="267" t="s">
        <v>55</v>
      </c>
      <c r="G447" s="277">
        <v>18</v>
      </c>
      <c r="H447" s="268">
        <f t="shared" si="353"/>
        <v>25.03</v>
      </c>
      <c r="I447" s="287">
        <v>5.68</v>
      </c>
      <c r="J447" s="268">
        <f t="shared" si="334"/>
        <v>7.21</v>
      </c>
      <c r="K447" s="292">
        <v>19.350000000000001</v>
      </c>
      <c r="L447" s="268">
        <f t="shared" si="354"/>
        <v>24.55</v>
      </c>
      <c r="M447" s="268">
        <f t="shared" si="359"/>
        <v>31.76</v>
      </c>
      <c r="N447" s="268">
        <f t="shared" si="360"/>
        <v>129.78</v>
      </c>
      <c r="O447" s="268">
        <f t="shared" si="361"/>
        <v>441.9</v>
      </c>
      <c r="P447" s="268">
        <f t="shared" si="362"/>
        <v>571.67999999999995</v>
      </c>
      <c r="Q447" s="269">
        <f t="shared" si="335"/>
        <v>2.0000000000000001E-4</v>
      </c>
      <c r="R447" s="44"/>
      <c r="S447" s="49">
        <f t="shared" si="336"/>
        <v>450.54</v>
      </c>
      <c r="T447" s="44"/>
      <c r="U447" s="44"/>
      <c r="V447" s="44"/>
      <c r="W447" s="44"/>
      <c r="X447" s="44"/>
      <c r="Y447" s="44"/>
      <c r="Z447" s="44"/>
      <c r="AA447" s="44"/>
      <c r="AB447" s="44"/>
      <c r="AC447" s="44"/>
      <c r="AD447" s="44"/>
      <c r="AE447" s="44"/>
      <c r="AF447" s="44"/>
      <c r="AG447" s="44"/>
      <c r="AH447" s="44"/>
      <c r="AI447" s="44"/>
      <c r="AJ447" s="44"/>
      <c r="AK447" s="44"/>
      <c r="AL447" s="44"/>
    </row>
    <row r="448" spans="1:38" x14ac:dyDescent="0.25">
      <c r="A448" s="55"/>
      <c r="B448" s="261" t="s">
        <v>276</v>
      </c>
      <c r="C448" s="261"/>
      <c r="D448" s="261"/>
      <c r="E448" s="261" t="s">
        <v>577</v>
      </c>
      <c r="F448" s="261"/>
      <c r="G448" s="276"/>
      <c r="H448" s="262"/>
      <c r="I448" s="286"/>
      <c r="J448" s="261"/>
      <c r="K448" s="291"/>
      <c r="L448" s="261"/>
      <c r="M448" s="261"/>
      <c r="N448" s="261"/>
      <c r="O448" s="261"/>
      <c r="P448" s="263"/>
      <c r="Q448" s="263"/>
      <c r="R448" s="44"/>
      <c r="S448" s="49">
        <f t="shared" si="336"/>
        <v>0</v>
      </c>
      <c r="T448" s="44"/>
      <c r="U448" s="44"/>
      <c r="V448" s="44"/>
      <c r="W448" s="44"/>
      <c r="X448" s="44"/>
      <c r="Y448" s="44"/>
      <c r="Z448" s="44"/>
      <c r="AA448" s="44"/>
      <c r="AB448" s="44"/>
      <c r="AC448" s="44"/>
      <c r="AD448" s="44"/>
      <c r="AE448" s="44"/>
      <c r="AF448" s="44"/>
      <c r="AG448" s="44"/>
      <c r="AH448" s="44"/>
      <c r="AI448" s="44"/>
      <c r="AJ448" s="44"/>
      <c r="AK448" s="44"/>
      <c r="AL448" s="44"/>
    </row>
    <row r="449" spans="1:38" x14ac:dyDescent="0.25">
      <c r="A449" s="55"/>
      <c r="B449" s="265" t="s">
        <v>641</v>
      </c>
      <c r="C449" s="266" t="s">
        <v>1154</v>
      </c>
      <c r="D449" s="265" t="s">
        <v>51</v>
      </c>
      <c r="E449" s="265" t="s">
        <v>1155</v>
      </c>
      <c r="F449" s="267" t="s">
        <v>44</v>
      </c>
      <c r="G449" s="277">
        <v>1</v>
      </c>
      <c r="H449" s="268">
        <v>6756.93</v>
      </c>
      <c r="I449" s="287">
        <f>41.26+60.18</f>
        <v>101.44</v>
      </c>
      <c r="J449" s="268">
        <f>I449*(1+$M$12)</f>
        <v>120.78</v>
      </c>
      <c r="K449" s="292">
        <f>H449-I449</f>
        <v>6655.49</v>
      </c>
      <c r="L449" s="268">
        <f>K449*(1+$M$12)</f>
        <v>7924.69</v>
      </c>
      <c r="M449" s="268">
        <f t="shared" ref="M449" si="364">L449+J449</f>
        <v>8045.47</v>
      </c>
      <c r="N449" s="268">
        <f t="shared" ref="N449" si="365">J449*G449</f>
        <v>120.78</v>
      </c>
      <c r="O449" s="268">
        <f t="shared" ref="O449" si="366">L449*G449</f>
        <v>7924.69</v>
      </c>
      <c r="P449" s="268">
        <f t="shared" ref="P449" si="367">O449+N449</f>
        <v>8045.47</v>
      </c>
      <c r="Q449" s="269">
        <f t="shared" si="335"/>
        <v>3.2000000000000002E-3</v>
      </c>
      <c r="R449" s="44"/>
      <c r="S449" s="49">
        <f t="shared" si="336"/>
        <v>6756.93</v>
      </c>
      <c r="T449" s="44"/>
      <c r="U449" s="44"/>
      <c r="V449" s="44"/>
      <c r="W449" s="44"/>
      <c r="X449" s="44"/>
      <c r="Y449" s="44"/>
      <c r="Z449" s="44"/>
      <c r="AA449" s="44"/>
      <c r="AB449" s="44"/>
      <c r="AC449" s="44"/>
      <c r="AD449" s="44"/>
      <c r="AE449" s="44"/>
      <c r="AF449" s="44"/>
      <c r="AG449" s="44"/>
      <c r="AH449" s="44"/>
      <c r="AI449" s="44"/>
      <c r="AJ449" s="44"/>
      <c r="AK449" s="44"/>
      <c r="AL449" s="44"/>
    </row>
    <row r="450" spans="1:38" x14ac:dyDescent="0.25">
      <c r="A450" s="55"/>
      <c r="B450" s="265" t="s">
        <v>642</v>
      </c>
      <c r="C450" s="266" t="s">
        <v>1156</v>
      </c>
      <c r="D450" s="265" t="s">
        <v>51</v>
      </c>
      <c r="E450" s="265" t="s">
        <v>1157</v>
      </c>
      <c r="F450" s="267" t="s">
        <v>44</v>
      </c>
      <c r="G450" s="277">
        <v>1</v>
      </c>
      <c r="H450" s="268">
        <v>5283.02</v>
      </c>
      <c r="I450" s="287">
        <f>43.94+64.09</f>
        <v>108.03</v>
      </c>
      <c r="J450" s="268">
        <f>I450*(1+$M$12)</f>
        <v>128.63</v>
      </c>
      <c r="K450" s="292">
        <f>H450-I450</f>
        <v>5174.99</v>
      </c>
      <c r="L450" s="268">
        <f>K450*(1+$M$12)</f>
        <v>6161.86</v>
      </c>
      <c r="M450" s="268">
        <f t="shared" ref="M450:M452" si="368">L450+J450</f>
        <v>6290.49</v>
      </c>
      <c r="N450" s="268">
        <f t="shared" ref="N450:N452" si="369">J450*G450</f>
        <v>128.63</v>
      </c>
      <c r="O450" s="268">
        <f t="shared" ref="O450:O452" si="370">L450*G450</f>
        <v>6161.86</v>
      </c>
      <c r="P450" s="268">
        <f t="shared" ref="P450:P452" si="371">O450+N450</f>
        <v>6290.49</v>
      </c>
      <c r="Q450" s="269">
        <f t="shared" si="335"/>
        <v>2.5000000000000001E-3</v>
      </c>
      <c r="R450" s="44"/>
      <c r="S450" s="49">
        <f t="shared" si="336"/>
        <v>5283.02</v>
      </c>
      <c r="T450" s="44"/>
      <c r="U450" s="44"/>
      <c r="V450" s="44"/>
      <c r="W450" s="44"/>
      <c r="X450" s="44"/>
      <c r="Y450" s="44"/>
      <c r="Z450" s="44"/>
      <c r="AA450" s="44"/>
      <c r="AB450" s="44"/>
      <c r="AC450" s="44"/>
      <c r="AD450" s="44"/>
      <c r="AE450" s="44"/>
      <c r="AF450" s="44"/>
      <c r="AG450" s="44"/>
      <c r="AH450" s="44"/>
      <c r="AI450" s="44"/>
      <c r="AJ450" s="44"/>
      <c r="AK450" s="44"/>
      <c r="AL450" s="44"/>
    </row>
    <row r="451" spans="1:38" x14ac:dyDescent="0.25">
      <c r="A451" s="55"/>
      <c r="B451" s="265" t="s">
        <v>643</v>
      </c>
      <c r="C451" s="266" t="s">
        <v>1158</v>
      </c>
      <c r="D451" s="265" t="s">
        <v>51</v>
      </c>
      <c r="E451" s="265" t="s">
        <v>1159</v>
      </c>
      <c r="F451" s="267" t="s">
        <v>44</v>
      </c>
      <c r="G451" s="277">
        <v>3</v>
      </c>
      <c r="H451" s="268">
        <v>3684.59</v>
      </c>
      <c r="I451" s="287">
        <f>66.77+106.04</f>
        <v>172.81</v>
      </c>
      <c r="J451" s="268">
        <f>I451*(1+$M$12)</f>
        <v>205.76</v>
      </c>
      <c r="K451" s="292">
        <f>H451-I451</f>
        <v>3511.78</v>
      </c>
      <c r="L451" s="268">
        <f>K451*(1+$M$12)</f>
        <v>4181.4799999999996</v>
      </c>
      <c r="M451" s="268">
        <f t="shared" si="368"/>
        <v>4387.24</v>
      </c>
      <c r="N451" s="268">
        <f t="shared" si="369"/>
        <v>617.28</v>
      </c>
      <c r="O451" s="268">
        <f t="shared" si="370"/>
        <v>12544.44</v>
      </c>
      <c r="P451" s="268">
        <f t="shared" si="371"/>
        <v>13161.72</v>
      </c>
      <c r="Q451" s="269">
        <f t="shared" si="335"/>
        <v>5.1999999999999998E-3</v>
      </c>
      <c r="R451" s="44"/>
      <c r="S451" s="49">
        <f t="shared" si="336"/>
        <v>11053.77</v>
      </c>
      <c r="T451" s="44"/>
      <c r="U451" s="44"/>
      <c r="V451" s="44"/>
      <c r="W451" s="44"/>
      <c r="X451" s="44"/>
      <c r="Y451" s="44"/>
      <c r="Z451" s="44"/>
      <c r="AA451" s="44"/>
      <c r="AB451" s="44"/>
      <c r="AC451" s="44"/>
      <c r="AD451" s="44"/>
      <c r="AE451" s="44"/>
      <c r="AF451" s="44"/>
      <c r="AG451" s="44"/>
      <c r="AH451" s="44"/>
      <c r="AI451" s="44"/>
      <c r="AJ451" s="44"/>
      <c r="AK451" s="44"/>
      <c r="AL451" s="44"/>
    </row>
    <row r="452" spans="1:38" x14ac:dyDescent="0.25">
      <c r="A452" s="55"/>
      <c r="B452" s="265" t="s">
        <v>1434</v>
      </c>
      <c r="C452" s="266" t="s">
        <v>1435</v>
      </c>
      <c r="D452" s="265" t="s">
        <v>51</v>
      </c>
      <c r="E452" s="265" t="s">
        <v>1436</v>
      </c>
      <c r="F452" s="267" t="s">
        <v>44</v>
      </c>
      <c r="G452" s="277">
        <v>1</v>
      </c>
      <c r="H452" s="268">
        <v>206.05</v>
      </c>
      <c r="I452" s="287">
        <f>13.35+21.21</f>
        <v>34.56</v>
      </c>
      <c r="J452" s="268">
        <f>I452*(1+$M$12)</f>
        <v>41.15</v>
      </c>
      <c r="K452" s="292">
        <f>H452-I452</f>
        <v>171.49</v>
      </c>
      <c r="L452" s="268">
        <f>K452*(1+$M$12)</f>
        <v>204.19</v>
      </c>
      <c r="M452" s="268">
        <f t="shared" si="368"/>
        <v>245.34</v>
      </c>
      <c r="N452" s="268">
        <f t="shared" si="369"/>
        <v>41.15</v>
      </c>
      <c r="O452" s="268">
        <f t="shared" si="370"/>
        <v>204.19</v>
      </c>
      <c r="P452" s="268">
        <f t="shared" si="371"/>
        <v>245.34</v>
      </c>
      <c r="Q452" s="269">
        <f t="shared" si="335"/>
        <v>1E-4</v>
      </c>
      <c r="R452" s="44"/>
      <c r="S452" s="49">
        <f t="shared" si="336"/>
        <v>206.05</v>
      </c>
      <c r="T452" s="44"/>
      <c r="U452" s="44"/>
      <c r="V452" s="44"/>
      <c r="W452" s="44"/>
      <c r="X452" s="44"/>
      <c r="Y452" s="44"/>
      <c r="Z452" s="44"/>
      <c r="AA452" s="44"/>
      <c r="AB452" s="44"/>
      <c r="AC452" s="44"/>
      <c r="AD452" s="44"/>
      <c r="AE452" s="44"/>
      <c r="AF452" s="44"/>
      <c r="AG452" s="44"/>
      <c r="AH452" s="44"/>
      <c r="AI452" s="44"/>
      <c r="AJ452" s="44"/>
      <c r="AK452" s="44"/>
      <c r="AL452" s="44"/>
    </row>
    <row r="453" spans="1:38" x14ac:dyDescent="0.25">
      <c r="A453" s="55"/>
      <c r="B453" s="261">
        <v>18</v>
      </c>
      <c r="C453" s="261"/>
      <c r="D453" s="261"/>
      <c r="E453" s="261" t="s">
        <v>295</v>
      </c>
      <c r="F453" s="261"/>
      <c r="G453" s="276"/>
      <c r="H453" s="262"/>
      <c r="I453" s="286"/>
      <c r="J453" s="261"/>
      <c r="K453" s="291"/>
      <c r="L453" s="261"/>
      <c r="M453" s="261"/>
      <c r="N453" s="261"/>
      <c r="O453" s="261"/>
      <c r="P453" s="263"/>
      <c r="Q453" s="263"/>
      <c r="R453" s="44"/>
      <c r="S453" s="49">
        <f t="shared" si="336"/>
        <v>0</v>
      </c>
      <c r="T453" s="44"/>
      <c r="U453" s="44"/>
      <c r="V453" s="44"/>
      <c r="W453" s="44"/>
      <c r="X453" s="44"/>
      <c r="Y453" s="44"/>
      <c r="Z453" s="44"/>
      <c r="AA453" s="44"/>
      <c r="AB453" s="44"/>
      <c r="AC453" s="44"/>
      <c r="AD453" s="44"/>
      <c r="AE453" s="44"/>
      <c r="AF453" s="44"/>
      <c r="AG453" s="44"/>
      <c r="AH453" s="44"/>
      <c r="AI453" s="44"/>
      <c r="AJ453" s="44"/>
      <c r="AK453" s="44"/>
      <c r="AL453" s="44"/>
    </row>
    <row r="454" spans="1:38" ht="27.6" x14ac:dyDescent="0.25">
      <c r="A454" s="55"/>
      <c r="B454" s="265" t="s">
        <v>280</v>
      </c>
      <c r="C454" s="266" t="s">
        <v>340</v>
      </c>
      <c r="D454" s="265" t="s">
        <v>40</v>
      </c>
      <c r="E454" s="265" t="s">
        <v>341</v>
      </c>
      <c r="F454" s="267" t="s">
        <v>44</v>
      </c>
      <c r="G454" s="277">
        <v>33</v>
      </c>
      <c r="H454" s="268">
        <f t="shared" si="353"/>
        <v>16.829999999999998</v>
      </c>
      <c r="I454" s="287">
        <v>10.029999999999999</v>
      </c>
      <c r="J454" s="268">
        <f t="shared" si="334"/>
        <v>12.73</v>
      </c>
      <c r="K454" s="292">
        <v>6.8</v>
      </c>
      <c r="L454" s="268">
        <f t="shared" si="354"/>
        <v>8.6300000000000008</v>
      </c>
      <c r="M454" s="268">
        <f t="shared" ref="M454" si="372">L454+J454</f>
        <v>21.36</v>
      </c>
      <c r="N454" s="268">
        <f t="shared" ref="N454" si="373">J454*G454</f>
        <v>420.09</v>
      </c>
      <c r="O454" s="268">
        <f t="shared" ref="O454" si="374">L454*G454</f>
        <v>284.79000000000002</v>
      </c>
      <c r="P454" s="268">
        <f t="shared" ref="P454" si="375">O454+N454</f>
        <v>704.88</v>
      </c>
      <c r="Q454" s="269">
        <f t="shared" si="335"/>
        <v>2.9999999999999997E-4</v>
      </c>
      <c r="R454" s="44"/>
      <c r="S454" s="49">
        <f t="shared" si="336"/>
        <v>555.39</v>
      </c>
      <c r="T454" s="44"/>
      <c r="U454" s="44"/>
      <c r="V454" s="44"/>
      <c r="W454" s="44"/>
      <c r="X454" s="44"/>
      <c r="Y454" s="44"/>
      <c r="Z454" s="44"/>
      <c r="AA454" s="44"/>
      <c r="AB454" s="44"/>
      <c r="AC454" s="44"/>
      <c r="AD454" s="44"/>
      <c r="AE454" s="44"/>
      <c r="AF454" s="44"/>
      <c r="AG454" s="44"/>
      <c r="AH454" s="44"/>
      <c r="AI454" s="44"/>
      <c r="AJ454" s="44"/>
      <c r="AK454" s="44"/>
      <c r="AL454" s="44"/>
    </row>
    <row r="455" spans="1:38" x14ac:dyDescent="0.25">
      <c r="A455" s="55"/>
      <c r="B455" s="265" t="s">
        <v>283</v>
      </c>
      <c r="C455" s="266" t="s">
        <v>688</v>
      </c>
      <c r="D455" s="265" t="s">
        <v>51</v>
      </c>
      <c r="E455" s="265" t="s">
        <v>689</v>
      </c>
      <c r="F455" s="267" t="s">
        <v>44</v>
      </c>
      <c r="G455" s="277">
        <v>4</v>
      </c>
      <c r="H455" s="268">
        <v>209.66</v>
      </c>
      <c r="I455" s="287">
        <f>20.04+25.45</f>
        <v>45.49</v>
      </c>
      <c r="J455" s="268">
        <f t="shared" si="334"/>
        <v>57.71</v>
      </c>
      <c r="K455" s="292">
        <f>H455-I455</f>
        <v>164.17</v>
      </c>
      <c r="L455" s="268">
        <f t="shared" si="354"/>
        <v>208.28</v>
      </c>
      <c r="M455" s="268">
        <f t="shared" ref="M455:M460" si="376">L455+J455</f>
        <v>265.99</v>
      </c>
      <c r="N455" s="268">
        <f t="shared" ref="N455:N460" si="377">J455*G455</f>
        <v>230.84</v>
      </c>
      <c r="O455" s="268">
        <f t="shared" ref="O455:O460" si="378">L455*G455</f>
        <v>833.12</v>
      </c>
      <c r="P455" s="268">
        <f t="shared" ref="P455:P460" si="379">O455+N455</f>
        <v>1063.96</v>
      </c>
      <c r="Q455" s="269">
        <f t="shared" si="335"/>
        <v>4.0000000000000002E-4</v>
      </c>
      <c r="R455" s="44"/>
      <c r="S455" s="49">
        <f t="shared" si="336"/>
        <v>838.64</v>
      </c>
      <c r="T455" s="44"/>
      <c r="U455" s="44"/>
      <c r="V455" s="44"/>
      <c r="W455" s="44"/>
      <c r="X455" s="44"/>
      <c r="Y455" s="44"/>
      <c r="Z455" s="44"/>
      <c r="AA455" s="44"/>
      <c r="AB455" s="44"/>
      <c r="AC455" s="44"/>
      <c r="AD455" s="44"/>
      <c r="AE455" s="44"/>
      <c r="AF455" s="44"/>
      <c r="AG455" s="44"/>
      <c r="AH455" s="44"/>
      <c r="AI455" s="44"/>
      <c r="AJ455" s="44"/>
      <c r="AK455" s="44"/>
      <c r="AL455" s="44"/>
    </row>
    <row r="456" spans="1:38" x14ac:dyDescent="0.25">
      <c r="A456" s="55"/>
      <c r="B456" s="265" t="s">
        <v>1334</v>
      </c>
      <c r="C456" s="266" t="s">
        <v>296</v>
      </c>
      <c r="D456" s="265" t="s">
        <v>40</v>
      </c>
      <c r="E456" s="265" t="s">
        <v>297</v>
      </c>
      <c r="F456" s="267" t="s">
        <v>44</v>
      </c>
      <c r="G456" s="277">
        <v>18</v>
      </c>
      <c r="H456" s="268">
        <f t="shared" si="353"/>
        <v>42.1</v>
      </c>
      <c r="I456" s="287">
        <v>6.97</v>
      </c>
      <c r="J456" s="268">
        <f t="shared" si="334"/>
        <v>8.84</v>
      </c>
      <c r="K456" s="292">
        <v>35.130000000000003</v>
      </c>
      <c r="L456" s="268">
        <f t="shared" si="354"/>
        <v>44.57</v>
      </c>
      <c r="M456" s="268">
        <f t="shared" si="376"/>
        <v>53.41</v>
      </c>
      <c r="N456" s="268">
        <f t="shared" si="377"/>
        <v>159.12</v>
      </c>
      <c r="O456" s="268">
        <f t="shared" si="378"/>
        <v>802.26</v>
      </c>
      <c r="P456" s="268">
        <f t="shared" si="379"/>
        <v>961.38</v>
      </c>
      <c r="Q456" s="269">
        <f t="shared" si="335"/>
        <v>4.0000000000000002E-4</v>
      </c>
      <c r="R456" s="44"/>
      <c r="S456" s="49">
        <f t="shared" si="336"/>
        <v>757.8</v>
      </c>
      <c r="T456" s="44"/>
      <c r="U456" s="44"/>
      <c r="V456" s="44"/>
      <c r="W456" s="44"/>
      <c r="X456" s="44"/>
      <c r="Y456" s="44"/>
      <c r="Z456" s="44"/>
      <c r="AA456" s="44"/>
      <c r="AB456" s="44"/>
      <c r="AC456" s="44"/>
      <c r="AD456" s="44"/>
      <c r="AE456" s="44"/>
      <c r="AF456" s="44"/>
      <c r="AG456" s="44"/>
      <c r="AH456" s="44"/>
      <c r="AI456" s="44"/>
      <c r="AJ456" s="44"/>
      <c r="AK456" s="44"/>
      <c r="AL456" s="44"/>
    </row>
    <row r="457" spans="1:38" ht="27.6" x14ac:dyDescent="0.25">
      <c r="A457" s="55"/>
      <c r="B457" s="265" t="s">
        <v>1335</v>
      </c>
      <c r="C457" s="266" t="s">
        <v>711</v>
      </c>
      <c r="D457" s="265" t="s">
        <v>40</v>
      </c>
      <c r="E457" s="265" t="s">
        <v>712</v>
      </c>
      <c r="F457" s="267" t="s">
        <v>55</v>
      </c>
      <c r="G457" s="277">
        <v>82</v>
      </c>
      <c r="H457" s="268">
        <f t="shared" si="353"/>
        <v>25.17</v>
      </c>
      <c r="I457" s="287">
        <v>8.17</v>
      </c>
      <c r="J457" s="268">
        <f t="shared" si="334"/>
        <v>10.37</v>
      </c>
      <c r="K457" s="292">
        <v>17</v>
      </c>
      <c r="L457" s="268">
        <f t="shared" si="354"/>
        <v>21.57</v>
      </c>
      <c r="M457" s="268">
        <f t="shared" si="376"/>
        <v>31.94</v>
      </c>
      <c r="N457" s="268">
        <f t="shared" si="377"/>
        <v>850.34</v>
      </c>
      <c r="O457" s="268">
        <f t="shared" si="378"/>
        <v>1768.74</v>
      </c>
      <c r="P457" s="268">
        <f t="shared" si="379"/>
        <v>2619.08</v>
      </c>
      <c r="Q457" s="269">
        <f t="shared" si="335"/>
        <v>1E-3</v>
      </c>
      <c r="R457" s="44"/>
      <c r="S457" s="49">
        <f t="shared" si="336"/>
        <v>2063.94</v>
      </c>
      <c r="T457" s="44"/>
      <c r="U457" s="44"/>
      <c r="V457" s="44"/>
      <c r="W457" s="44"/>
      <c r="X457" s="44"/>
      <c r="Y457" s="44"/>
      <c r="Z457" s="44"/>
      <c r="AA457" s="44"/>
      <c r="AB457" s="44"/>
      <c r="AC457" s="44"/>
      <c r="AD457" s="44"/>
      <c r="AE457" s="44"/>
      <c r="AF457" s="44"/>
      <c r="AG457" s="44"/>
      <c r="AH457" s="44"/>
      <c r="AI457" s="44"/>
      <c r="AJ457" s="44"/>
      <c r="AK457" s="44"/>
      <c r="AL457" s="44"/>
    </row>
    <row r="458" spans="1:38" ht="13.8" customHeight="1" x14ac:dyDescent="0.25">
      <c r="A458" s="55"/>
      <c r="B458" s="265" t="s">
        <v>1336</v>
      </c>
      <c r="C458" s="266" t="s">
        <v>716</v>
      </c>
      <c r="D458" s="265" t="s">
        <v>40</v>
      </c>
      <c r="E458" s="265" t="s">
        <v>717</v>
      </c>
      <c r="F458" s="267" t="s">
        <v>55</v>
      </c>
      <c r="G458" s="277">
        <v>44.8</v>
      </c>
      <c r="H458" s="268">
        <f t="shared" si="353"/>
        <v>19.670000000000002</v>
      </c>
      <c r="I458" s="287">
        <v>5.48</v>
      </c>
      <c r="J458" s="268">
        <f t="shared" si="334"/>
        <v>6.95</v>
      </c>
      <c r="K458" s="292">
        <v>14.19</v>
      </c>
      <c r="L458" s="268">
        <f t="shared" si="354"/>
        <v>18</v>
      </c>
      <c r="M458" s="268">
        <f t="shared" si="376"/>
        <v>24.95</v>
      </c>
      <c r="N458" s="268">
        <f t="shared" si="377"/>
        <v>311.36</v>
      </c>
      <c r="O458" s="268">
        <f t="shared" si="378"/>
        <v>806.4</v>
      </c>
      <c r="P458" s="268">
        <f t="shared" si="379"/>
        <v>1117.76</v>
      </c>
      <c r="Q458" s="269">
        <f t="shared" si="335"/>
        <v>4.0000000000000002E-4</v>
      </c>
      <c r="R458" s="44"/>
      <c r="S458" s="49">
        <f t="shared" si="336"/>
        <v>881.22</v>
      </c>
      <c r="T458" s="44"/>
      <c r="U458" s="44"/>
      <c r="V458" s="44"/>
      <c r="W458" s="44"/>
      <c r="X458" s="44"/>
      <c r="Y458" s="44"/>
      <c r="Z458" s="44"/>
      <c r="AA458" s="44"/>
      <c r="AB458" s="44"/>
      <c r="AC458" s="44"/>
      <c r="AD458" s="44"/>
      <c r="AE458" s="44"/>
      <c r="AF458" s="44"/>
      <c r="AG458" s="44"/>
      <c r="AH458" s="44"/>
      <c r="AI458" s="44"/>
      <c r="AJ458" s="44"/>
      <c r="AK458" s="44"/>
      <c r="AL458" s="44"/>
    </row>
    <row r="459" spans="1:38" ht="27.6" x14ac:dyDescent="0.25">
      <c r="A459" s="55"/>
      <c r="B459" s="265" t="s">
        <v>1337</v>
      </c>
      <c r="C459" s="266" t="s">
        <v>718</v>
      </c>
      <c r="D459" s="265" t="s">
        <v>40</v>
      </c>
      <c r="E459" s="265" t="s">
        <v>719</v>
      </c>
      <c r="F459" s="267" t="s">
        <v>55</v>
      </c>
      <c r="G459" s="277">
        <v>16</v>
      </c>
      <c r="H459" s="268">
        <f t="shared" si="353"/>
        <v>30.07</v>
      </c>
      <c r="I459" s="287">
        <v>4.3499999999999996</v>
      </c>
      <c r="J459" s="268">
        <f t="shared" si="334"/>
        <v>5.52</v>
      </c>
      <c r="K459" s="292">
        <v>25.72</v>
      </c>
      <c r="L459" s="268">
        <f t="shared" si="354"/>
        <v>32.630000000000003</v>
      </c>
      <c r="M459" s="268">
        <f t="shared" si="376"/>
        <v>38.15</v>
      </c>
      <c r="N459" s="268">
        <f t="shared" si="377"/>
        <v>88.32</v>
      </c>
      <c r="O459" s="268">
        <f t="shared" si="378"/>
        <v>522.08000000000004</v>
      </c>
      <c r="P459" s="268">
        <f t="shared" si="379"/>
        <v>610.4</v>
      </c>
      <c r="Q459" s="269">
        <f t="shared" si="335"/>
        <v>2.0000000000000001E-4</v>
      </c>
      <c r="R459" s="44"/>
      <c r="S459" s="49">
        <f t="shared" si="336"/>
        <v>481.12</v>
      </c>
      <c r="T459" s="44"/>
      <c r="U459" s="44"/>
      <c r="V459" s="44"/>
      <c r="W459" s="44"/>
      <c r="X459" s="44"/>
      <c r="Y459" s="44"/>
      <c r="Z459" s="44"/>
      <c r="AA459" s="44"/>
      <c r="AB459" s="44"/>
      <c r="AC459" s="44"/>
      <c r="AD459" s="44"/>
      <c r="AE459" s="44"/>
      <c r="AF459" s="44"/>
      <c r="AG459" s="44"/>
      <c r="AH459" s="44"/>
      <c r="AI459" s="44"/>
      <c r="AJ459" s="44"/>
      <c r="AK459" s="44"/>
      <c r="AL459" s="44"/>
    </row>
    <row r="460" spans="1:38" ht="27.6" customHeight="1" x14ac:dyDescent="0.25">
      <c r="A460" s="55"/>
      <c r="B460" s="265" t="s">
        <v>1338</v>
      </c>
      <c r="C460" s="266" t="s">
        <v>737</v>
      </c>
      <c r="D460" s="265" t="s">
        <v>199</v>
      </c>
      <c r="E460" s="265" t="s">
        <v>775</v>
      </c>
      <c r="F460" s="267" t="s">
        <v>393</v>
      </c>
      <c r="G460" s="277">
        <v>10</v>
      </c>
      <c r="H460" s="268">
        <v>21.15</v>
      </c>
      <c r="I460" s="287">
        <f>3.71+5.42</f>
        <v>9.1300000000000008</v>
      </c>
      <c r="J460" s="268">
        <f t="shared" si="334"/>
        <v>11.58</v>
      </c>
      <c r="K460" s="292">
        <f>H460-I460</f>
        <v>12.02</v>
      </c>
      <c r="L460" s="268">
        <f t="shared" si="354"/>
        <v>15.25</v>
      </c>
      <c r="M460" s="268">
        <f t="shared" si="376"/>
        <v>26.83</v>
      </c>
      <c r="N460" s="268">
        <f t="shared" si="377"/>
        <v>115.8</v>
      </c>
      <c r="O460" s="268">
        <f t="shared" si="378"/>
        <v>152.5</v>
      </c>
      <c r="P460" s="268">
        <f t="shared" si="379"/>
        <v>268.3</v>
      </c>
      <c r="Q460" s="269">
        <f t="shared" si="335"/>
        <v>1E-4</v>
      </c>
      <c r="R460" s="44"/>
      <c r="S460" s="49">
        <f t="shared" si="336"/>
        <v>211.5</v>
      </c>
      <c r="T460" s="44"/>
      <c r="U460" s="44"/>
      <c r="V460" s="44"/>
      <c r="W460" s="44"/>
      <c r="X460" s="44"/>
      <c r="Y460" s="44"/>
      <c r="Z460" s="44"/>
      <c r="AA460" s="44"/>
      <c r="AB460" s="44"/>
      <c r="AC460" s="44"/>
      <c r="AD460" s="44"/>
      <c r="AE460" s="44"/>
      <c r="AF460" s="44"/>
      <c r="AG460" s="44"/>
      <c r="AH460" s="44"/>
      <c r="AI460" s="44"/>
      <c r="AJ460" s="44"/>
      <c r="AK460" s="44"/>
      <c r="AL460" s="44"/>
    </row>
    <row r="461" spans="1:38" x14ac:dyDescent="0.25">
      <c r="A461" s="55"/>
      <c r="B461" s="261">
        <v>19</v>
      </c>
      <c r="C461" s="261"/>
      <c r="D461" s="261"/>
      <c r="E461" s="261" t="s">
        <v>298</v>
      </c>
      <c r="F461" s="261"/>
      <c r="G461" s="276"/>
      <c r="H461" s="262"/>
      <c r="I461" s="286"/>
      <c r="J461" s="261"/>
      <c r="K461" s="291"/>
      <c r="L461" s="261"/>
      <c r="M461" s="261"/>
      <c r="N461" s="261"/>
      <c r="O461" s="261"/>
      <c r="P461" s="263"/>
      <c r="Q461" s="263"/>
      <c r="R461" s="44"/>
      <c r="S461" s="49">
        <f t="shared" si="336"/>
        <v>0</v>
      </c>
      <c r="T461" s="44"/>
      <c r="U461" s="44"/>
      <c r="V461" s="44"/>
      <c r="W461" s="44"/>
      <c r="X461" s="44"/>
      <c r="Y461" s="44"/>
      <c r="Z461" s="44"/>
      <c r="AA461" s="44"/>
      <c r="AB461" s="44"/>
      <c r="AC461" s="44"/>
      <c r="AD461" s="44"/>
      <c r="AE461" s="44"/>
      <c r="AF461" s="44"/>
      <c r="AG461" s="44"/>
      <c r="AH461" s="44"/>
      <c r="AI461" s="44"/>
      <c r="AJ461" s="44"/>
      <c r="AK461" s="44"/>
      <c r="AL461" s="44"/>
    </row>
    <row r="462" spans="1:38" ht="27.6" x14ac:dyDescent="0.25">
      <c r="A462" s="55"/>
      <c r="B462" s="265" t="s">
        <v>284</v>
      </c>
      <c r="C462" s="266" t="s">
        <v>299</v>
      </c>
      <c r="D462" s="265" t="s">
        <v>40</v>
      </c>
      <c r="E462" s="265" t="s">
        <v>300</v>
      </c>
      <c r="F462" s="267" t="s">
        <v>55</v>
      </c>
      <c r="G462" s="277">
        <v>80</v>
      </c>
      <c r="H462" s="268">
        <f t="shared" si="353"/>
        <v>61.09</v>
      </c>
      <c r="I462" s="287">
        <v>9.6300000000000008</v>
      </c>
      <c r="J462" s="268">
        <f t="shared" si="334"/>
        <v>12.22</v>
      </c>
      <c r="K462" s="292">
        <v>51.46</v>
      </c>
      <c r="L462" s="268">
        <f t="shared" si="354"/>
        <v>65.290000000000006</v>
      </c>
      <c r="M462" s="268">
        <f t="shared" ref="M462" si="380">L462+J462</f>
        <v>77.510000000000005</v>
      </c>
      <c r="N462" s="268">
        <f t="shared" ref="N462" si="381">J462*G462</f>
        <v>977.6</v>
      </c>
      <c r="O462" s="268">
        <f t="shared" ref="O462" si="382">L462*G462</f>
        <v>5223.2</v>
      </c>
      <c r="P462" s="268">
        <f t="shared" ref="P462" si="383">O462+N462</f>
        <v>6200.8</v>
      </c>
      <c r="Q462" s="269">
        <f t="shared" si="335"/>
        <v>2.5000000000000001E-3</v>
      </c>
      <c r="R462" s="44"/>
      <c r="S462" s="49">
        <f t="shared" si="336"/>
        <v>4887.2</v>
      </c>
      <c r="T462" s="44"/>
      <c r="U462" s="44"/>
      <c r="V462" s="44"/>
      <c r="W462" s="44"/>
      <c r="X462" s="44"/>
      <c r="Y462" s="44"/>
      <c r="Z462" s="44"/>
      <c r="AA462" s="44"/>
      <c r="AB462" s="44"/>
      <c r="AC462" s="44"/>
      <c r="AD462" s="44"/>
      <c r="AE462" s="44"/>
      <c r="AF462" s="44"/>
      <c r="AG462" s="44"/>
      <c r="AH462" s="44"/>
      <c r="AI462" s="44"/>
      <c r="AJ462" s="44"/>
      <c r="AK462" s="44"/>
      <c r="AL462" s="44"/>
    </row>
    <row r="463" spans="1:38" ht="27.6" x14ac:dyDescent="0.25">
      <c r="A463" s="55"/>
      <c r="B463" s="265" t="s">
        <v>285</v>
      </c>
      <c r="C463" s="266" t="s">
        <v>301</v>
      </c>
      <c r="D463" s="265" t="s">
        <v>40</v>
      </c>
      <c r="E463" s="265" t="s">
        <v>302</v>
      </c>
      <c r="F463" s="267" t="s">
        <v>44</v>
      </c>
      <c r="G463" s="277">
        <v>10</v>
      </c>
      <c r="H463" s="268">
        <f t="shared" si="353"/>
        <v>21.33</v>
      </c>
      <c r="I463" s="287">
        <v>10.1</v>
      </c>
      <c r="J463" s="268">
        <f t="shared" si="334"/>
        <v>12.81</v>
      </c>
      <c r="K463" s="292">
        <v>11.23</v>
      </c>
      <c r="L463" s="268">
        <f t="shared" si="354"/>
        <v>14.25</v>
      </c>
      <c r="M463" s="268">
        <f t="shared" ref="M463:M469" si="384">L463+J463</f>
        <v>27.06</v>
      </c>
      <c r="N463" s="268">
        <f t="shared" ref="N463:N469" si="385">J463*G463</f>
        <v>128.1</v>
      </c>
      <c r="O463" s="268">
        <f t="shared" ref="O463:O469" si="386">L463*G463</f>
        <v>142.5</v>
      </c>
      <c r="P463" s="268">
        <f t="shared" ref="P463:P469" si="387">O463+N463</f>
        <v>270.60000000000002</v>
      </c>
      <c r="Q463" s="269">
        <f t="shared" si="335"/>
        <v>1E-4</v>
      </c>
      <c r="R463" s="44"/>
      <c r="S463" s="49">
        <f t="shared" si="336"/>
        <v>213.3</v>
      </c>
      <c r="T463" s="44"/>
      <c r="U463" s="44"/>
      <c r="V463" s="44"/>
      <c r="W463" s="44"/>
      <c r="X463" s="44"/>
      <c r="Y463" s="44"/>
      <c r="Z463" s="44"/>
      <c r="AA463" s="44"/>
      <c r="AB463" s="44"/>
      <c r="AC463" s="44"/>
      <c r="AD463" s="44"/>
      <c r="AE463" s="44"/>
      <c r="AF463" s="44"/>
      <c r="AG463" s="44"/>
      <c r="AH463" s="44"/>
      <c r="AI463" s="44"/>
      <c r="AJ463" s="44"/>
      <c r="AK463" s="44"/>
      <c r="AL463" s="44"/>
    </row>
    <row r="464" spans="1:38" ht="27.6" x14ac:dyDescent="0.25">
      <c r="A464" s="55"/>
      <c r="B464" s="265" t="s">
        <v>1160</v>
      </c>
      <c r="C464" s="266" t="s">
        <v>305</v>
      </c>
      <c r="D464" s="265" t="s">
        <v>40</v>
      </c>
      <c r="E464" s="265" t="s">
        <v>306</v>
      </c>
      <c r="F464" s="267" t="s">
        <v>44</v>
      </c>
      <c r="G464" s="277">
        <v>50</v>
      </c>
      <c r="H464" s="268">
        <f t="shared" si="353"/>
        <v>15.76</v>
      </c>
      <c r="I464" s="287">
        <v>7.58</v>
      </c>
      <c r="J464" s="268">
        <f t="shared" si="334"/>
        <v>9.6199999999999992</v>
      </c>
      <c r="K464" s="292">
        <v>8.18</v>
      </c>
      <c r="L464" s="268">
        <f t="shared" si="354"/>
        <v>10.38</v>
      </c>
      <c r="M464" s="268">
        <f t="shared" si="384"/>
        <v>20</v>
      </c>
      <c r="N464" s="268">
        <f t="shared" si="385"/>
        <v>481</v>
      </c>
      <c r="O464" s="268">
        <f t="shared" si="386"/>
        <v>519</v>
      </c>
      <c r="P464" s="268">
        <f t="shared" si="387"/>
        <v>1000</v>
      </c>
      <c r="Q464" s="269">
        <f t="shared" si="335"/>
        <v>4.0000000000000002E-4</v>
      </c>
      <c r="R464" s="44"/>
      <c r="S464" s="49">
        <f t="shared" si="336"/>
        <v>788</v>
      </c>
      <c r="T464" s="44"/>
      <c r="U464" s="44"/>
      <c r="V464" s="44"/>
      <c r="W464" s="44"/>
      <c r="X464" s="44"/>
      <c r="Y464" s="44"/>
      <c r="Z464" s="44"/>
      <c r="AA464" s="44"/>
      <c r="AB464" s="44"/>
      <c r="AC464" s="44"/>
      <c r="AD464" s="44"/>
      <c r="AE464" s="44"/>
      <c r="AF464" s="44"/>
      <c r="AG464" s="44"/>
      <c r="AH464" s="44"/>
      <c r="AI464" s="44"/>
      <c r="AJ464" s="44"/>
      <c r="AK464" s="44"/>
      <c r="AL464" s="44"/>
    </row>
    <row r="465" spans="1:38" ht="27.6" x14ac:dyDescent="0.25">
      <c r="A465" s="55"/>
      <c r="B465" s="265" t="s">
        <v>1161</v>
      </c>
      <c r="C465" s="266" t="s">
        <v>303</v>
      </c>
      <c r="D465" s="265" t="s">
        <v>40</v>
      </c>
      <c r="E465" s="265" t="s">
        <v>304</v>
      </c>
      <c r="F465" s="267" t="s">
        <v>44</v>
      </c>
      <c r="G465" s="277">
        <v>10</v>
      </c>
      <c r="H465" s="268">
        <f t="shared" si="353"/>
        <v>10.27</v>
      </c>
      <c r="I465" s="287">
        <v>5.0599999999999996</v>
      </c>
      <c r="J465" s="268">
        <f t="shared" si="334"/>
        <v>6.42</v>
      </c>
      <c r="K465" s="292">
        <v>5.21</v>
      </c>
      <c r="L465" s="268">
        <f t="shared" si="354"/>
        <v>6.61</v>
      </c>
      <c r="M465" s="268">
        <f t="shared" si="384"/>
        <v>13.03</v>
      </c>
      <c r="N465" s="268">
        <f t="shared" si="385"/>
        <v>64.2</v>
      </c>
      <c r="O465" s="268">
        <f t="shared" si="386"/>
        <v>66.099999999999994</v>
      </c>
      <c r="P465" s="268">
        <f t="shared" si="387"/>
        <v>130.30000000000001</v>
      </c>
      <c r="Q465" s="269">
        <f t="shared" si="335"/>
        <v>1E-4</v>
      </c>
      <c r="R465" s="44"/>
      <c r="S465" s="49">
        <f t="shared" si="336"/>
        <v>102.7</v>
      </c>
      <c r="T465" s="44"/>
      <c r="U465" s="44"/>
      <c r="V465" s="44"/>
      <c r="W465" s="44"/>
      <c r="X465" s="44"/>
      <c r="Y465" s="44"/>
      <c r="Z465" s="44"/>
      <c r="AA465" s="44"/>
      <c r="AB465" s="44"/>
      <c r="AC465" s="44"/>
      <c r="AD465" s="44"/>
      <c r="AE465" s="44"/>
      <c r="AF465" s="44"/>
      <c r="AG465" s="44"/>
      <c r="AH465" s="44"/>
      <c r="AI465" s="44"/>
      <c r="AJ465" s="44"/>
      <c r="AK465" s="44"/>
      <c r="AL465" s="44"/>
    </row>
    <row r="466" spans="1:38" x14ac:dyDescent="0.25">
      <c r="A466" s="55"/>
      <c r="B466" s="265" t="s">
        <v>1162</v>
      </c>
      <c r="C466" s="266" t="s">
        <v>1437</v>
      </c>
      <c r="D466" s="265" t="s">
        <v>100</v>
      </c>
      <c r="E466" s="265" t="s">
        <v>1438</v>
      </c>
      <c r="F466" s="267" t="s">
        <v>44</v>
      </c>
      <c r="G466" s="277">
        <v>2</v>
      </c>
      <c r="H466" s="268">
        <f>CPUS!L143</f>
        <v>136.07</v>
      </c>
      <c r="I466" s="287">
        <f>CPUS!H147</f>
        <v>5.96</v>
      </c>
      <c r="J466" s="268">
        <f t="shared" si="334"/>
        <v>7.56</v>
      </c>
      <c r="K466" s="292">
        <f>H466-I466</f>
        <v>130.11000000000001</v>
      </c>
      <c r="L466" s="268">
        <f t="shared" si="354"/>
        <v>165.07</v>
      </c>
      <c r="M466" s="268">
        <f t="shared" si="384"/>
        <v>172.63</v>
      </c>
      <c r="N466" s="268">
        <f t="shared" si="385"/>
        <v>15.12</v>
      </c>
      <c r="O466" s="268">
        <f t="shared" si="386"/>
        <v>330.14</v>
      </c>
      <c r="P466" s="268">
        <f t="shared" si="387"/>
        <v>345.26</v>
      </c>
      <c r="Q466" s="269">
        <f t="shared" si="335"/>
        <v>1E-4</v>
      </c>
      <c r="R466" s="44"/>
      <c r="S466" s="49">
        <f t="shared" si="336"/>
        <v>272.14</v>
      </c>
      <c r="T466" s="44"/>
      <c r="U466" s="44"/>
      <c r="V466" s="44"/>
      <c r="W466" s="44"/>
      <c r="X466" s="44"/>
      <c r="Y466" s="44"/>
      <c r="Z466" s="44"/>
      <c r="AA466" s="44"/>
      <c r="AB466" s="44"/>
      <c r="AC466" s="44"/>
      <c r="AD466" s="44"/>
      <c r="AE466" s="44"/>
      <c r="AF466" s="44"/>
      <c r="AG466" s="44"/>
      <c r="AH466" s="44"/>
      <c r="AI466" s="44"/>
      <c r="AJ466" s="44"/>
      <c r="AK466" s="44"/>
      <c r="AL466" s="44"/>
    </row>
    <row r="467" spans="1:38" ht="15.75" customHeight="1" x14ac:dyDescent="0.25">
      <c r="A467" s="44"/>
      <c r="B467" s="265" t="s">
        <v>1163</v>
      </c>
      <c r="C467" s="266" t="s">
        <v>1166</v>
      </c>
      <c r="D467" s="265" t="s">
        <v>146</v>
      </c>
      <c r="E467" s="265" t="s">
        <v>1167</v>
      </c>
      <c r="F467" s="267" t="s">
        <v>168</v>
      </c>
      <c r="G467" s="277">
        <v>1</v>
      </c>
      <c r="H467" s="268">
        <v>1309.6400000000001</v>
      </c>
      <c r="I467" s="287">
        <f>1.53+1.56+7.65+5.46</f>
        <v>16.2</v>
      </c>
      <c r="J467" s="268">
        <f t="shared" si="334"/>
        <v>20.55</v>
      </c>
      <c r="K467" s="292">
        <f>H467-I467</f>
        <v>1293.44</v>
      </c>
      <c r="L467" s="268">
        <f t="shared" si="354"/>
        <v>1640.99</v>
      </c>
      <c r="M467" s="268">
        <f t="shared" si="384"/>
        <v>1661.54</v>
      </c>
      <c r="N467" s="268">
        <f t="shared" si="385"/>
        <v>20.55</v>
      </c>
      <c r="O467" s="268">
        <f t="shared" si="386"/>
        <v>1640.99</v>
      </c>
      <c r="P467" s="268">
        <f t="shared" si="387"/>
        <v>1661.54</v>
      </c>
      <c r="Q467" s="269">
        <f t="shared" si="335"/>
        <v>6.9999999999999999E-4</v>
      </c>
      <c r="R467" s="44"/>
      <c r="S467" s="49">
        <f t="shared" si="336"/>
        <v>1309.6400000000001</v>
      </c>
      <c r="T467" s="44"/>
      <c r="U467" s="44"/>
      <c r="V467" s="44"/>
      <c r="W467" s="44"/>
      <c r="X467" s="44"/>
      <c r="Y467" s="44"/>
      <c r="Z467" s="44"/>
      <c r="AA467" s="44"/>
      <c r="AB467" s="44"/>
      <c r="AC467" s="44"/>
      <c r="AD467" s="44"/>
      <c r="AE467" s="44"/>
      <c r="AF467" s="44"/>
      <c r="AG467" s="44"/>
      <c r="AH467" s="44"/>
      <c r="AI467" s="44"/>
      <c r="AJ467" s="44"/>
      <c r="AK467" s="44"/>
      <c r="AL467" s="44"/>
    </row>
    <row r="468" spans="1:38" ht="15.75" customHeight="1" x14ac:dyDescent="0.25">
      <c r="A468" s="44"/>
      <c r="B468" s="265" t="s">
        <v>1164</v>
      </c>
      <c r="C468" s="266" t="s">
        <v>863</v>
      </c>
      <c r="D468" s="265" t="s">
        <v>146</v>
      </c>
      <c r="E468" s="265" t="s">
        <v>864</v>
      </c>
      <c r="F468" s="267" t="s">
        <v>168</v>
      </c>
      <c r="G468" s="277">
        <v>1</v>
      </c>
      <c r="H468" s="268">
        <v>867.11</v>
      </c>
      <c r="I468" s="287">
        <f>1.15+1.17+5.74+4.1</f>
        <v>12.16</v>
      </c>
      <c r="J468" s="268">
        <f t="shared" si="334"/>
        <v>15.43</v>
      </c>
      <c r="K468" s="292">
        <f>H468-I468</f>
        <v>854.95</v>
      </c>
      <c r="L468" s="268">
        <f t="shared" si="354"/>
        <v>1084.68</v>
      </c>
      <c r="M468" s="268">
        <f t="shared" si="384"/>
        <v>1100.1099999999999</v>
      </c>
      <c r="N468" s="268">
        <f t="shared" si="385"/>
        <v>15.43</v>
      </c>
      <c r="O468" s="268">
        <f t="shared" si="386"/>
        <v>1084.68</v>
      </c>
      <c r="P468" s="268">
        <f t="shared" si="387"/>
        <v>1100.1099999999999</v>
      </c>
      <c r="Q468" s="269">
        <f t="shared" si="335"/>
        <v>4.0000000000000002E-4</v>
      </c>
      <c r="R468" s="44"/>
      <c r="S468" s="49">
        <f t="shared" si="336"/>
        <v>867.11</v>
      </c>
      <c r="T468" s="44"/>
      <c r="U468" s="44"/>
      <c r="V468" s="44"/>
      <c r="W468" s="44"/>
      <c r="X468" s="44"/>
      <c r="Y468" s="44"/>
      <c r="Z468" s="44"/>
      <c r="AA468" s="44"/>
      <c r="AB468" s="44"/>
      <c r="AC468" s="44"/>
      <c r="AD468" s="44"/>
      <c r="AE468" s="44"/>
      <c r="AF468" s="44"/>
      <c r="AG468" s="44"/>
      <c r="AH468" s="44"/>
      <c r="AI468" s="44"/>
      <c r="AJ468" s="44"/>
      <c r="AK468" s="44"/>
      <c r="AL468" s="44"/>
    </row>
    <row r="469" spans="1:38" ht="15.75" customHeight="1" x14ac:dyDescent="0.25">
      <c r="A469" s="44"/>
      <c r="B469" s="265" t="s">
        <v>1165</v>
      </c>
      <c r="C469" s="266" t="s">
        <v>739</v>
      </c>
      <c r="D469" s="265" t="s">
        <v>40</v>
      </c>
      <c r="E469" s="265" t="s">
        <v>740</v>
      </c>
      <c r="F469" s="267" t="s">
        <v>55</v>
      </c>
      <c r="G469" s="277">
        <v>40</v>
      </c>
      <c r="H469" s="268">
        <f t="shared" si="353"/>
        <v>18.649999999999999</v>
      </c>
      <c r="I469" s="287">
        <v>6.06</v>
      </c>
      <c r="J469" s="268">
        <f t="shared" ref="J469:J480" si="388">I469*(1+$M$9)</f>
        <v>7.69</v>
      </c>
      <c r="K469" s="292">
        <v>12.59</v>
      </c>
      <c r="L469" s="268">
        <f t="shared" si="354"/>
        <v>15.97</v>
      </c>
      <c r="M469" s="268">
        <f t="shared" si="384"/>
        <v>23.66</v>
      </c>
      <c r="N469" s="268">
        <f t="shared" si="385"/>
        <v>307.60000000000002</v>
      </c>
      <c r="O469" s="268">
        <f t="shared" si="386"/>
        <v>638.79999999999995</v>
      </c>
      <c r="P469" s="268">
        <f t="shared" si="387"/>
        <v>946.4</v>
      </c>
      <c r="Q469" s="269">
        <f t="shared" ref="Q469:Q480" si="389">P469/$O$485</f>
        <v>4.0000000000000002E-4</v>
      </c>
      <c r="R469" s="44"/>
      <c r="S469" s="49">
        <f t="shared" ref="S469:S480" si="390">G469*H469</f>
        <v>746</v>
      </c>
      <c r="T469" s="44"/>
      <c r="U469" s="44"/>
      <c r="V469" s="44"/>
      <c r="W469" s="44"/>
      <c r="X469" s="44"/>
      <c r="Y469" s="44"/>
      <c r="Z469" s="44"/>
      <c r="AA469" s="44"/>
      <c r="AB469" s="44"/>
      <c r="AC469" s="44"/>
      <c r="AD469" s="44"/>
      <c r="AE469" s="44"/>
      <c r="AF469" s="44"/>
      <c r="AG469" s="44"/>
      <c r="AH469" s="44"/>
      <c r="AI469" s="44"/>
      <c r="AJ469" s="44"/>
      <c r="AK469" s="44"/>
      <c r="AL469" s="44"/>
    </row>
    <row r="470" spans="1:38" ht="15.75" customHeight="1" x14ac:dyDescent="0.25">
      <c r="A470" s="44"/>
      <c r="B470" s="261">
        <v>20</v>
      </c>
      <c r="C470" s="261"/>
      <c r="D470" s="261"/>
      <c r="E470" s="261" t="s">
        <v>741</v>
      </c>
      <c r="F470" s="261"/>
      <c r="G470" s="276"/>
      <c r="H470" s="262"/>
      <c r="I470" s="286"/>
      <c r="J470" s="261"/>
      <c r="K470" s="291"/>
      <c r="L470" s="261"/>
      <c r="M470" s="261"/>
      <c r="N470" s="261"/>
      <c r="O470" s="261"/>
      <c r="P470" s="263"/>
      <c r="Q470" s="263"/>
      <c r="R470" s="44"/>
      <c r="S470" s="49">
        <f t="shared" si="390"/>
        <v>0</v>
      </c>
      <c r="T470" s="44"/>
      <c r="U470" s="44"/>
      <c r="V470" s="44"/>
      <c r="W470" s="44"/>
      <c r="X470" s="44"/>
      <c r="Y470" s="44"/>
      <c r="Z470" s="44"/>
      <c r="AA470" s="44"/>
      <c r="AB470" s="44"/>
      <c r="AC470" s="44"/>
      <c r="AD470" s="44"/>
      <c r="AE470" s="44"/>
      <c r="AF470" s="44"/>
      <c r="AG470" s="44"/>
      <c r="AH470" s="44"/>
      <c r="AI470" s="44"/>
      <c r="AJ470" s="44"/>
      <c r="AK470" s="44"/>
      <c r="AL470" s="44"/>
    </row>
    <row r="471" spans="1:38" ht="15.75" customHeight="1" x14ac:dyDescent="0.25">
      <c r="A471" s="44"/>
      <c r="B471" s="261" t="s">
        <v>286</v>
      </c>
      <c r="C471" s="261"/>
      <c r="D471" s="261"/>
      <c r="E471" s="261" t="s">
        <v>776</v>
      </c>
      <c r="F471" s="261"/>
      <c r="G471" s="276"/>
      <c r="H471" s="262"/>
      <c r="I471" s="286"/>
      <c r="J471" s="261"/>
      <c r="K471" s="291"/>
      <c r="L471" s="261"/>
      <c r="M471" s="261"/>
      <c r="N471" s="261"/>
      <c r="O471" s="261"/>
      <c r="P471" s="263"/>
      <c r="Q471" s="263"/>
      <c r="R471" s="44"/>
      <c r="S471" s="49">
        <f t="shared" si="390"/>
        <v>0</v>
      </c>
      <c r="T471" s="44"/>
      <c r="U471" s="44"/>
      <c r="V471" s="44"/>
      <c r="W471" s="44"/>
      <c r="X471" s="44"/>
      <c r="Y471" s="44"/>
      <c r="Z471" s="44"/>
      <c r="AA471" s="44"/>
      <c r="AB471" s="44"/>
      <c r="AC471" s="44"/>
      <c r="AD471" s="44"/>
      <c r="AE471" s="44"/>
      <c r="AF471" s="44"/>
      <c r="AG471" s="44"/>
      <c r="AH471" s="44"/>
      <c r="AI471" s="44"/>
      <c r="AJ471" s="44"/>
      <c r="AK471" s="44"/>
      <c r="AL471" s="44"/>
    </row>
    <row r="472" spans="1:38" ht="15.75" customHeight="1" x14ac:dyDescent="0.25">
      <c r="A472" s="44"/>
      <c r="B472" s="265" t="s">
        <v>1339</v>
      </c>
      <c r="C472" s="266" t="s">
        <v>742</v>
      </c>
      <c r="D472" s="265" t="s">
        <v>40</v>
      </c>
      <c r="E472" s="265" t="s">
        <v>1168</v>
      </c>
      <c r="F472" s="267" t="s">
        <v>41</v>
      </c>
      <c r="G472" s="277">
        <v>15.06</v>
      </c>
      <c r="H472" s="268">
        <f t="shared" ref="H472:H475" si="391">I472+K472</f>
        <v>131.53</v>
      </c>
      <c r="I472" s="287">
        <v>29.64</v>
      </c>
      <c r="J472" s="268">
        <f t="shared" si="388"/>
        <v>37.6</v>
      </c>
      <c r="K472" s="292">
        <v>101.89</v>
      </c>
      <c r="L472" s="268">
        <f t="shared" ref="L472:L480" si="392">K472*(1+$M$9)</f>
        <v>129.27000000000001</v>
      </c>
      <c r="M472" s="268">
        <f t="shared" ref="M472" si="393">L472+J472</f>
        <v>166.87</v>
      </c>
      <c r="N472" s="268">
        <f t="shared" ref="N472" si="394">J472*G472</f>
        <v>566.26</v>
      </c>
      <c r="O472" s="268">
        <f t="shared" ref="O472" si="395">L472*G472</f>
        <v>1946.81</v>
      </c>
      <c r="P472" s="268">
        <f t="shared" ref="P472" si="396">O472+N472</f>
        <v>2513.0700000000002</v>
      </c>
      <c r="Q472" s="269">
        <f t="shared" si="389"/>
        <v>1E-3</v>
      </c>
      <c r="R472" s="44"/>
      <c r="S472" s="49">
        <f t="shared" si="390"/>
        <v>1980.84</v>
      </c>
      <c r="T472" s="44"/>
      <c r="U472" s="44"/>
      <c r="V472" s="44"/>
      <c r="W472" s="44"/>
      <c r="X472" s="44"/>
      <c r="Y472" s="44"/>
      <c r="Z472" s="44"/>
      <c r="AA472" s="44"/>
      <c r="AB472" s="44"/>
      <c r="AC472" s="44"/>
      <c r="AD472" s="44"/>
      <c r="AE472" s="44"/>
      <c r="AF472" s="44"/>
      <c r="AG472" s="44"/>
      <c r="AH472" s="44"/>
      <c r="AI472" s="44"/>
      <c r="AJ472" s="44"/>
      <c r="AK472" s="44"/>
      <c r="AL472" s="44"/>
    </row>
    <row r="473" spans="1:38" ht="15.75" customHeight="1" x14ac:dyDescent="0.25">
      <c r="A473" s="44"/>
      <c r="B473" s="265" t="s">
        <v>1591</v>
      </c>
      <c r="C473" s="266" t="s">
        <v>1592</v>
      </c>
      <c r="D473" s="265" t="s">
        <v>40</v>
      </c>
      <c r="E473" s="265" t="s">
        <v>1593</v>
      </c>
      <c r="F473" s="267" t="s">
        <v>55</v>
      </c>
      <c r="G473" s="277">
        <v>45.2</v>
      </c>
      <c r="H473" s="268">
        <f t="shared" si="391"/>
        <v>46.98</v>
      </c>
      <c r="I473" s="287">
        <v>8.93</v>
      </c>
      <c r="J473" s="268">
        <f t="shared" si="388"/>
        <v>11.33</v>
      </c>
      <c r="K473" s="292">
        <v>38.049999999999997</v>
      </c>
      <c r="L473" s="268">
        <f t="shared" si="392"/>
        <v>48.27</v>
      </c>
      <c r="M473" s="268">
        <f t="shared" ref="M473" si="397">L473+J473</f>
        <v>59.6</v>
      </c>
      <c r="N473" s="268">
        <f t="shared" ref="N473" si="398">J473*G473</f>
        <v>512.12</v>
      </c>
      <c r="O473" s="268">
        <f t="shared" ref="O473" si="399">L473*G473</f>
        <v>2181.8000000000002</v>
      </c>
      <c r="P473" s="268">
        <f t="shared" ref="P473" si="400">O473+N473</f>
        <v>2693.92</v>
      </c>
      <c r="Q473" s="269">
        <f t="shared" si="389"/>
        <v>1.1000000000000001E-3</v>
      </c>
      <c r="R473" s="44"/>
      <c r="S473" s="49">
        <f t="shared" si="390"/>
        <v>2123.5</v>
      </c>
      <c r="T473" s="44"/>
      <c r="U473" s="44"/>
      <c r="V473" s="44"/>
      <c r="W473" s="44"/>
      <c r="X473" s="44"/>
      <c r="Y473" s="44"/>
      <c r="Z473" s="44"/>
      <c r="AA473" s="44"/>
      <c r="AB473" s="44"/>
      <c r="AC473" s="44"/>
      <c r="AD473" s="44"/>
      <c r="AE473" s="44"/>
      <c r="AF473" s="44"/>
      <c r="AG473" s="44"/>
      <c r="AH473" s="44"/>
      <c r="AI473" s="44"/>
      <c r="AJ473" s="44"/>
      <c r="AK473" s="44"/>
      <c r="AL473" s="44"/>
    </row>
    <row r="474" spans="1:38" ht="15.75" customHeight="1" x14ac:dyDescent="0.25">
      <c r="A474" s="44"/>
      <c r="B474" s="261" t="s">
        <v>289</v>
      </c>
      <c r="C474" s="261"/>
      <c r="D474" s="261"/>
      <c r="E474" s="261" t="s">
        <v>290</v>
      </c>
      <c r="F474" s="261"/>
      <c r="G474" s="276"/>
      <c r="H474" s="262"/>
      <c r="I474" s="286"/>
      <c r="J474" s="261"/>
      <c r="K474" s="291"/>
      <c r="L474" s="261"/>
      <c r="M474" s="261"/>
      <c r="N474" s="261"/>
      <c r="O474" s="261"/>
      <c r="P474" s="263"/>
      <c r="Q474" s="263"/>
      <c r="R474" s="44"/>
      <c r="S474" s="49">
        <f t="shared" si="390"/>
        <v>0</v>
      </c>
      <c r="T474" s="44"/>
      <c r="U474" s="44"/>
      <c r="V474" s="44"/>
      <c r="W474" s="44"/>
      <c r="X474" s="44"/>
      <c r="Y474" s="44"/>
      <c r="Z474" s="44"/>
      <c r="AA474" s="44"/>
      <c r="AB474" s="44"/>
      <c r="AC474" s="44"/>
      <c r="AD474" s="44"/>
      <c r="AE474" s="44"/>
      <c r="AF474" s="44"/>
      <c r="AG474" s="44"/>
      <c r="AH474" s="44"/>
      <c r="AI474" s="44"/>
      <c r="AJ474" s="44"/>
      <c r="AK474" s="44"/>
      <c r="AL474" s="44"/>
    </row>
    <row r="475" spans="1:38" ht="15.75" customHeight="1" x14ac:dyDescent="0.25">
      <c r="A475" s="44"/>
      <c r="B475" s="265" t="s">
        <v>1340</v>
      </c>
      <c r="C475" s="266" t="s">
        <v>292</v>
      </c>
      <c r="D475" s="265" t="s">
        <v>40</v>
      </c>
      <c r="E475" s="265" t="s">
        <v>293</v>
      </c>
      <c r="F475" s="267" t="s">
        <v>41</v>
      </c>
      <c r="G475" s="277">
        <v>109.55</v>
      </c>
      <c r="H475" s="268">
        <f t="shared" si="391"/>
        <v>26.14</v>
      </c>
      <c r="I475" s="287">
        <v>2.3199999999999998</v>
      </c>
      <c r="J475" s="268">
        <f t="shared" si="388"/>
        <v>2.94</v>
      </c>
      <c r="K475" s="292">
        <v>23.82</v>
      </c>
      <c r="L475" s="268">
        <f t="shared" si="392"/>
        <v>30.22</v>
      </c>
      <c r="M475" s="268">
        <f t="shared" ref="M475" si="401">L475+J475</f>
        <v>33.159999999999997</v>
      </c>
      <c r="N475" s="268">
        <f t="shared" ref="N475" si="402">J475*G475</f>
        <v>322.08</v>
      </c>
      <c r="O475" s="268">
        <f t="shared" ref="O475" si="403">L475*G475</f>
        <v>3310.6</v>
      </c>
      <c r="P475" s="268">
        <f t="shared" ref="P475" si="404">O475+N475</f>
        <v>3632.68</v>
      </c>
      <c r="Q475" s="269">
        <f t="shared" si="389"/>
        <v>1.4E-3</v>
      </c>
      <c r="R475" s="44"/>
      <c r="S475" s="49">
        <f t="shared" si="390"/>
        <v>2863.64</v>
      </c>
      <c r="T475" s="44"/>
      <c r="U475" s="44"/>
      <c r="V475" s="44"/>
      <c r="W475" s="44"/>
      <c r="X475" s="44"/>
      <c r="Y475" s="44"/>
      <c r="Z475" s="44"/>
      <c r="AA475" s="44"/>
      <c r="AB475" s="44"/>
      <c r="AC475" s="44"/>
      <c r="AD475" s="44"/>
      <c r="AE475" s="44"/>
      <c r="AF475" s="44"/>
      <c r="AG475" s="44"/>
      <c r="AH475" s="44"/>
      <c r="AI475" s="44"/>
      <c r="AJ475" s="44"/>
      <c r="AK475" s="44"/>
      <c r="AL475" s="44"/>
    </row>
    <row r="476" spans="1:38" ht="15.75" customHeight="1" x14ac:dyDescent="0.25">
      <c r="A476" s="44"/>
      <c r="B476" s="261" t="s">
        <v>782</v>
      </c>
      <c r="C476" s="261"/>
      <c r="D476" s="261"/>
      <c r="E476" s="261" t="s">
        <v>743</v>
      </c>
      <c r="F476" s="261"/>
      <c r="G476" s="276"/>
      <c r="H476" s="262"/>
      <c r="I476" s="286"/>
      <c r="J476" s="261"/>
      <c r="K476" s="291"/>
      <c r="L476" s="261"/>
      <c r="M476" s="261"/>
      <c r="N476" s="261"/>
      <c r="O476" s="261"/>
      <c r="P476" s="263"/>
      <c r="Q476" s="263"/>
      <c r="R476" s="44"/>
      <c r="S476" s="49">
        <f t="shared" si="390"/>
        <v>0</v>
      </c>
      <c r="T476" s="44"/>
      <c r="U476" s="44"/>
      <c r="V476" s="44"/>
      <c r="W476" s="44"/>
      <c r="X476" s="44"/>
      <c r="Y476" s="44"/>
      <c r="Z476" s="44"/>
      <c r="AA476" s="44"/>
      <c r="AB476" s="44"/>
      <c r="AC476" s="44"/>
      <c r="AD476" s="44"/>
      <c r="AE476" s="44"/>
      <c r="AF476" s="44"/>
      <c r="AG476" s="44"/>
      <c r="AH476" s="44"/>
      <c r="AI476" s="44"/>
      <c r="AJ476" s="44"/>
      <c r="AK476" s="44"/>
      <c r="AL476" s="44"/>
    </row>
    <row r="477" spans="1:38" ht="15.75" customHeight="1" x14ac:dyDescent="0.25">
      <c r="A477" s="44"/>
      <c r="B477" s="265" t="s">
        <v>1341</v>
      </c>
      <c r="C477" s="266" t="s">
        <v>287</v>
      </c>
      <c r="D477" s="265" t="s">
        <v>146</v>
      </c>
      <c r="E477" s="265" t="s">
        <v>288</v>
      </c>
      <c r="F477" s="267" t="s">
        <v>168</v>
      </c>
      <c r="G477" s="277">
        <v>10</v>
      </c>
      <c r="H477" s="268">
        <v>113.65</v>
      </c>
      <c r="I477" s="287">
        <f>0.95+4.78</f>
        <v>5.73</v>
      </c>
      <c r="J477" s="268">
        <f t="shared" si="388"/>
        <v>7.27</v>
      </c>
      <c r="K477" s="292">
        <f>H477-I477</f>
        <v>107.92</v>
      </c>
      <c r="L477" s="268">
        <f t="shared" si="392"/>
        <v>136.91999999999999</v>
      </c>
      <c r="M477" s="268">
        <f t="shared" ref="M477" si="405">L477+J477</f>
        <v>144.19</v>
      </c>
      <c r="N477" s="268">
        <f t="shared" ref="N477" si="406">J477*G477</f>
        <v>72.7</v>
      </c>
      <c r="O477" s="268">
        <f t="shared" ref="O477" si="407">L477*G477</f>
        <v>1369.2</v>
      </c>
      <c r="P477" s="268">
        <f t="shared" ref="P477" si="408">O477+N477</f>
        <v>1441.9</v>
      </c>
      <c r="Q477" s="269">
        <f t="shared" si="389"/>
        <v>5.9999999999999995E-4</v>
      </c>
      <c r="R477" s="44"/>
      <c r="S477" s="49">
        <f t="shared" si="390"/>
        <v>1136.5</v>
      </c>
      <c r="T477" s="44"/>
      <c r="U477" s="44"/>
      <c r="V477" s="44"/>
      <c r="W477" s="44"/>
      <c r="X477" s="44"/>
      <c r="Y477" s="44"/>
      <c r="Z477" s="44"/>
      <c r="AA477" s="44"/>
      <c r="AB477" s="44"/>
      <c r="AC477" s="44"/>
      <c r="AD477" s="44"/>
      <c r="AE477" s="44"/>
      <c r="AF477" s="44"/>
      <c r="AG477" s="44"/>
      <c r="AH477" s="44"/>
      <c r="AI477" s="44"/>
      <c r="AJ477" s="44"/>
      <c r="AK477" s="44"/>
      <c r="AL477" s="44"/>
    </row>
    <row r="478" spans="1:38" ht="15.75" customHeight="1" x14ac:dyDescent="0.25">
      <c r="A478" s="44"/>
      <c r="B478" s="261">
        <v>21</v>
      </c>
      <c r="C478" s="261"/>
      <c r="D478" s="261"/>
      <c r="E478" s="261" t="s">
        <v>744</v>
      </c>
      <c r="F478" s="261"/>
      <c r="G478" s="276"/>
      <c r="H478" s="262"/>
      <c r="I478" s="286"/>
      <c r="J478" s="261"/>
      <c r="K478" s="291"/>
      <c r="L478" s="261"/>
      <c r="M478" s="261"/>
      <c r="N478" s="261"/>
      <c r="O478" s="261"/>
      <c r="P478" s="263"/>
      <c r="Q478" s="263"/>
      <c r="R478" s="44"/>
      <c r="S478" s="49">
        <f t="shared" si="390"/>
        <v>0</v>
      </c>
      <c r="T478" s="44"/>
      <c r="U478" s="44"/>
      <c r="V478" s="44"/>
      <c r="W478" s="44"/>
      <c r="X478" s="44"/>
      <c r="Y478" s="44"/>
      <c r="Z478" s="44"/>
      <c r="AA478" s="44"/>
      <c r="AB478" s="44"/>
      <c r="AC478" s="44"/>
      <c r="AD478" s="44"/>
      <c r="AE478" s="44"/>
      <c r="AF478" s="44"/>
      <c r="AG478" s="44"/>
      <c r="AH478" s="44"/>
      <c r="AI478" s="44"/>
      <c r="AJ478" s="44"/>
      <c r="AK478" s="44"/>
      <c r="AL478" s="44"/>
    </row>
    <row r="479" spans="1:38" ht="15.75" customHeight="1" x14ac:dyDescent="0.25">
      <c r="A479" s="44"/>
      <c r="B479" s="265" t="s">
        <v>291</v>
      </c>
      <c r="C479" s="266" t="s">
        <v>307</v>
      </c>
      <c r="D479" s="265" t="s">
        <v>146</v>
      </c>
      <c r="E479" s="265" t="s">
        <v>308</v>
      </c>
      <c r="F479" s="267" t="s">
        <v>41</v>
      </c>
      <c r="G479" s="277">
        <v>500.17</v>
      </c>
      <c r="H479" s="268">
        <v>11.67</v>
      </c>
      <c r="I479" s="287">
        <f>1.56+5.46</f>
        <v>7.02</v>
      </c>
      <c r="J479" s="268">
        <f t="shared" si="388"/>
        <v>8.91</v>
      </c>
      <c r="K479" s="292">
        <f>H479-I479</f>
        <v>4.6500000000000004</v>
      </c>
      <c r="L479" s="268">
        <f t="shared" si="392"/>
        <v>5.9</v>
      </c>
      <c r="M479" s="268">
        <f t="shared" ref="M479" si="409">L479+J479</f>
        <v>14.81</v>
      </c>
      <c r="N479" s="268">
        <f t="shared" ref="N479" si="410">J479*G479</f>
        <v>4456.51</v>
      </c>
      <c r="O479" s="268">
        <f t="shared" ref="O479" si="411">L479*G479</f>
        <v>2951</v>
      </c>
      <c r="P479" s="268">
        <f t="shared" ref="P479" si="412">O479+N479</f>
        <v>7407.51</v>
      </c>
      <c r="Q479" s="269">
        <f t="shared" si="389"/>
        <v>2.8999999999999998E-3</v>
      </c>
      <c r="R479" s="44"/>
      <c r="S479" s="49">
        <f t="shared" si="390"/>
        <v>5836.98</v>
      </c>
      <c r="T479" s="44"/>
      <c r="U479" s="44"/>
      <c r="V479" s="44"/>
      <c r="W479" s="44"/>
      <c r="X479" s="44"/>
      <c r="Y479" s="44"/>
      <c r="Z479" s="44"/>
      <c r="AA479" s="44"/>
      <c r="AB479" s="44"/>
      <c r="AC479" s="44"/>
      <c r="AD479" s="44"/>
      <c r="AE479" s="44"/>
      <c r="AF479" s="44"/>
      <c r="AG479" s="44"/>
      <c r="AH479" s="44"/>
      <c r="AI479" s="44"/>
      <c r="AJ479" s="44"/>
      <c r="AK479" s="44"/>
      <c r="AL479" s="44"/>
    </row>
    <row r="480" spans="1:38" ht="15.75" customHeight="1" x14ac:dyDescent="0.25">
      <c r="A480" s="44"/>
      <c r="B480" s="265" t="s">
        <v>1594</v>
      </c>
      <c r="C480" s="266" t="s">
        <v>1595</v>
      </c>
      <c r="D480" s="265" t="s">
        <v>146</v>
      </c>
      <c r="E480" s="265" t="s">
        <v>1596</v>
      </c>
      <c r="F480" s="267" t="s">
        <v>41</v>
      </c>
      <c r="G480" s="277">
        <v>500.17</v>
      </c>
      <c r="H480" s="268">
        <v>2.39</v>
      </c>
      <c r="I480" s="287">
        <f>0.39+1.37</f>
        <v>1.76</v>
      </c>
      <c r="J480" s="268">
        <f t="shared" si="388"/>
        <v>2.23</v>
      </c>
      <c r="K480" s="292">
        <f>H480-I480</f>
        <v>0.63</v>
      </c>
      <c r="L480" s="268">
        <f t="shared" si="392"/>
        <v>0.8</v>
      </c>
      <c r="M480" s="268">
        <f t="shared" ref="M480" si="413">L480+J480</f>
        <v>3.03</v>
      </c>
      <c r="N480" s="268">
        <f t="shared" ref="N480" si="414">J480*G480</f>
        <v>1115.3800000000001</v>
      </c>
      <c r="O480" s="268">
        <f t="shared" ref="O480" si="415">L480*G480</f>
        <v>400.14</v>
      </c>
      <c r="P480" s="268">
        <f t="shared" ref="P480" si="416">O480+N480</f>
        <v>1515.52</v>
      </c>
      <c r="Q480" s="269">
        <f t="shared" si="389"/>
        <v>5.9999999999999995E-4</v>
      </c>
      <c r="R480" s="44"/>
      <c r="S480" s="49">
        <f t="shared" si="390"/>
        <v>1195.4100000000001</v>
      </c>
      <c r="T480" s="44"/>
      <c r="U480" s="44"/>
      <c r="V480" s="44"/>
      <c r="W480" s="44"/>
      <c r="X480" s="44"/>
      <c r="Y480" s="44"/>
      <c r="Z480" s="44"/>
      <c r="AA480" s="44"/>
      <c r="AB480" s="44"/>
      <c r="AC480" s="44"/>
      <c r="AD480" s="44"/>
      <c r="AE480" s="44"/>
      <c r="AF480" s="44"/>
      <c r="AG480" s="44"/>
      <c r="AH480" s="44"/>
      <c r="AI480" s="44"/>
      <c r="AJ480" s="44"/>
      <c r="AK480" s="44"/>
      <c r="AL480" s="44"/>
    </row>
    <row r="481" spans="1:38" ht="15.75" customHeight="1" x14ac:dyDescent="0.25">
      <c r="A481" s="44"/>
      <c r="B481" s="270"/>
      <c r="C481" s="270"/>
      <c r="D481" s="270"/>
      <c r="E481" s="270"/>
      <c r="F481" s="270"/>
      <c r="G481" s="278"/>
      <c r="H481" s="270"/>
      <c r="I481" s="270"/>
      <c r="J481" s="270"/>
      <c r="K481" s="270"/>
      <c r="L481" s="270"/>
      <c r="M481" s="270" t="s">
        <v>313</v>
      </c>
      <c r="N481" s="270"/>
      <c r="O481" s="270"/>
      <c r="P481" s="270"/>
      <c r="Q481" s="270"/>
      <c r="R481" s="44"/>
      <c r="S481" s="45">
        <f>SUM(S20:S480)</f>
        <v>1996637.95</v>
      </c>
      <c r="T481" s="44"/>
      <c r="U481" s="44"/>
      <c r="V481" s="44"/>
      <c r="W481" s="44"/>
      <c r="X481" s="44"/>
      <c r="Y481" s="44"/>
      <c r="Z481" s="44"/>
      <c r="AA481" s="44"/>
      <c r="AB481" s="44"/>
      <c r="AC481" s="44"/>
      <c r="AD481" s="44"/>
      <c r="AE481" s="44"/>
      <c r="AF481" s="44"/>
      <c r="AG481" s="44"/>
      <c r="AH481" s="44"/>
      <c r="AI481" s="44"/>
      <c r="AJ481" s="44"/>
      <c r="AK481" s="44"/>
      <c r="AL481" s="44"/>
    </row>
    <row r="482" spans="1:38" ht="15.75" customHeight="1" x14ac:dyDescent="0.25">
      <c r="A482" s="44"/>
      <c r="B482" s="271"/>
      <c r="C482" s="271"/>
      <c r="D482" s="271"/>
      <c r="E482" s="271"/>
      <c r="F482" s="271"/>
      <c r="G482" s="279"/>
      <c r="H482" s="271"/>
      <c r="I482" s="271"/>
      <c r="J482" s="271"/>
      <c r="K482" s="271"/>
      <c r="L482" s="271"/>
      <c r="M482" s="271"/>
      <c r="N482" s="271"/>
      <c r="O482" s="271"/>
      <c r="P482" s="271"/>
      <c r="Q482" s="271"/>
      <c r="R482" s="44"/>
      <c r="S482" s="44"/>
      <c r="T482" s="44"/>
      <c r="U482" s="44"/>
      <c r="V482" s="44"/>
      <c r="W482" s="44"/>
      <c r="X482" s="44"/>
      <c r="Y482" s="44"/>
      <c r="Z482" s="44"/>
      <c r="AA482" s="44"/>
      <c r="AB482" s="44"/>
      <c r="AC482" s="44"/>
      <c r="AD482" s="44"/>
      <c r="AE482" s="44"/>
      <c r="AF482" s="44"/>
      <c r="AG482" s="44"/>
      <c r="AH482" s="44"/>
      <c r="AI482" s="44"/>
      <c r="AJ482" s="44"/>
      <c r="AK482" s="44"/>
      <c r="AL482" s="44"/>
    </row>
    <row r="483" spans="1:38" ht="15.75" customHeight="1" x14ac:dyDescent="0.25">
      <c r="A483" s="44"/>
      <c r="B483" s="357"/>
      <c r="C483" s="357"/>
      <c r="D483" s="357"/>
      <c r="E483" s="272"/>
      <c r="F483" s="270"/>
      <c r="G483" s="278"/>
      <c r="H483" s="270"/>
      <c r="I483" s="270"/>
      <c r="J483" s="270"/>
      <c r="K483" s="270"/>
      <c r="L483" s="270"/>
      <c r="M483" s="358" t="s">
        <v>314</v>
      </c>
      <c r="N483" s="357"/>
      <c r="O483" s="359">
        <f>S481</f>
        <v>1996637.95</v>
      </c>
      <c r="P483" s="357"/>
      <c r="Q483" s="357"/>
      <c r="R483" s="325">
        <f>O483/O485</f>
        <v>0.78959999999999997</v>
      </c>
      <c r="S483" s="44"/>
      <c r="T483" s="44"/>
      <c r="U483" s="44"/>
      <c r="V483" s="44"/>
      <c r="W483" s="44"/>
      <c r="X483" s="44"/>
      <c r="Y483" s="44"/>
      <c r="Z483" s="44"/>
      <c r="AA483" s="44"/>
      <c r="AB483" s="44"/>
      <c r="AC483" s="44"/>
      <c r="AD483" s="44"/>
      <c r="AE483" s="44"/>
      <c r="AF483" s="44"/>
      <c r="AG483" s="44"/>
      <c r="AH483" s="44"/>
      <c r="AI483" s="44"/>
      <c r="AJ483" s="44"/>
      <c r="AK483" s="44"/>
      <c r="AL483" s="44"/>
    </row>
    <row r="484" spans="1:38" ht="15.75" customHeight="1" x14ac:dyDescent="0.25">
      <c r="A484" s="44"/>
      <c r="B484" s="357"/>
      <c r="C484" s="357"/>
      <c r="D484" s="357"/>
      <c r="E484" s="272"/>
      <c r="F484" s="270"/>
      <c r="G484" s="278"/>
      <c r="H484" s="270"/>
      <c r="I484" s="270"/>
      <c r="J484" s="270"/>
      <c r="K484" s="270"/>
      <c r="L484" s="270"/>
      <c r="M484" s="358" t="s">
        <v>315</v>
      </c>
      <c r="N484" s="357"/>
      <c r="O484" s="359">
        <f>O485-O483</f>
        <v>531997.69999999995</v>
      </c>
      <c r="P484" s="357"/>
      <c r="Q484" s="357"/>
      <c r="R484" s="325">
        <f>O484/O485</f>
        <v>0.2104</v>
      </c>
      <c r="S484" s="44"/>
      <c r="T484" s="44"/>
      <c r="U484" s="44"/>
      <c r="V484" s="44"/>
      <c r="W484" s="44"/>
      <c r="X484" s="44"/>
      <c r="Y484" s="44"/>
      <c r="Z484" s="44"/>
      <c r="AA484" s="44"/>
      <c r="AB484" s="44"/>
      <c r="AC484" s="44"/>
      <c r="AD484" s="44"/>
      <c r="AE484" s="44"/>
      <c r="AF484" s="44"/>
      <c r="AG484" s="44"/>
      <c r="AH484" s="44"/>
      <c r="AI484" s="44"/>
      <c r="AJ484" s="44"/>
      <c r="AK484" s="44"/>
      <c r="AL484" s="44"/>
    </row>
    <row r="485" spans="1:38" ht="15.75" customHeight="1" x14ac:dyDescent="0.25">
      <c r="A485" s="44"/>
      <c r="B485" s="357"/>
      <c r="C485" s="357"/>
      <c r="D485" s="357"/>
      <c r="E485" s="272"/>
      <c r="F485" s="270"/>
      <c r="G485" s="278"/>
      <c r="H485" s="270"/>
      <c r="I485" s="270"/>
      <c r="J485" s="270"/>
      <c r="K485" s="270"/>
      <c r="L485" s="270"/>
      <c r="M485" s="383" t="s">
        <v>316</v>
      </c>
      <c r="N485" s="384"/>
      <c r="O485" s="385">
        <f>SUM(P20:P480)</f>
        <v>2528635.65</v>
      </c>
      <c r="P485" s="384"/>
      <c r="Q485" s="384"/>
      <c r="R485" s="44"/>
      <c r="S485" s="44"/>
      <c r="T485" s="44"/>
      <c r="U485" s="44"/>
      <c r="V485" s="44"/>
      <c r="W485" s="44"/>
      <c r="X485" s="44"/>
      <c r="Y485" s="44"/>
      <c r="Z485" s="44"/>
      <c r="AA485" s="44"/>
      <c r="AB485" s="44"/>
      <c r="AC485" s="44"/>
      <c r="AD485" s="44"/>
      <c r="AE485" s="44"/>
      <c r="AF485" s="44"/>
      <c r="AG485" s="44"/>
      <c r="AH485" s="44"/>
      <c r="AI485" s="44"/>
      <c r="AJ485" s="44"/>
      <c r="AK485" s="44"/>
      <c r="AL485" s="44"/>
    </row>
    <row r="486" spans="1:38" ht="15.75" customHeight="1" x14ac:dyDescent="0.25">
      <c r="A486" s="44"/>
      <c r="B486" s="357"/>
      <c r="C486" s="357"/>
      <c r="D486" s="357"/>
      <c r="E486" s="272"/>
      <c r="F486" s="270"/>
      <c r="G486" s="278"/>
      <c r="H486" s="270"/>
      <c r="I486" s="270"/>
      <c r="J486" s="270"/>
      <c r="K486" s="270"/>
      <c r="L486" s="270"/>
      <c r="M486" s="358"/>
      <c r="N486" s="357"/>
      <c r="O486" s="359"/>
      <c r="P486" s="357"/>
      <c r="Q486" s="357"/>
      <c r="R486" s="44"/>
      <c r="S486" s="44"/>
      <c r="T486" s="44"/>
      <c r="U486" s="44"/>
      <c r="V486" s="44"/>
      <c r="W486" s="44"/>
      <c r="X486" s="44"/>
      <c r="Y486" s="44"/>
      <c r="Z486" s="44"/>
      <c r="AA486" s="44"/>
      <c r="AB486" s="44"/>
      <c r="AC486" s="44"/>
      <c r="AD486" s="44"/>
      <c r="AE486" s="44"/>
      <c r="AF486" s="44"/>
      <c r="AG486" s="44"/>
      <c r="AH486" s="44"/>
      <c r="AI486" s="44"/>
      <c r="AJ486" s="44"/>
      <c r="AK486" s="44"/>
      <c r="AL486" s="44"/>
    </row>
    <row r="487" spans="1:38" ht="15.75" customHeight="1" x14ac:dyDescent="0.25">
      <c r="A487" s="44"/>
      <c r="B487" s="357"/>
      <c r="C487" s="357"/>
      <c r="D487" s="357"/>
      <c r="E487" s="272"/>
      <c r="F487" s="270"/>
      <c r="G487" s="278"/>
      <c r="H487" s="270"/>
      <c r="I487" s="270"/>
      <c r="J487" s="270"/>
      <c r="K487" s="270"/>
      <c r="L487" s="270"/>
      <c r="M487" s="358"/>
      <c r="N487" s="357"/>
      <c r="O487" s="359"/>
      <c r="P487" s="357"/>
      <c r="Q487" s="357"/>
      <c r="R487" s="44"/>
      <c r="S487" s="44"/>
      <c r="T487" s="44"/>
      <c r="U487" s="44"/>
      <c r="V487" s="44"/>
      <c r="W487" s="44"/>
      <c r="X487" s="44"/>
      <c r="Y487" s="44"/>
      <c r="Z487" s="44"/>
      <c r="AA487" s="44"/>
      <c r="AB487" s="44"/>
      <c r="AC487" s="44"/>
      <c r="AD487" s="44"/>
      <c r="AE487" s="44"/>
      <c r="AF487" s="44"/>
      <c r="AG487" s="44"/>
      <c r="AH487" s="44"/>
      <c r="AI487" s="44"/>
      <c r="AJ487" s="44"/>
      <c r="AK487" s="44"/>
      <c r="AL487" s="44"/>
    </row>
    <row r="488" spans="1:38" ht="15.75" customHeight="1" x14ac:dyDescent="0.25">
      <c r="A488" s="44"/>
      <c r="B488" s="357"/>
      <c r="C488" s="357"/>
      <c r="D488" s="357"/>
      <c r="E488" s="272"/>
      <c r="F488" s="270"/>
      <c r="G488" s="278"/>
      <c r="H488" s="270"/>
      <c r="I488" s="270"/>
      <c r="J488" s="270"/>
      <c r="K488" s="270"/>
      <c r="L488" s="270"/>
      <c r="M488" s="358"/>
      <c r="N488" s="357"/>
      <c r="O488" s="359"/>
      <c r="P488" s="357"/>
      <c r="Q488" s="357"/>
      <c r="R488" s="44"/>
      <c r="S488" s="44"/>
      <c r="T488" s="44"/>
      <c r="U488" s="44"/>
      <c r="V488" s="44"/>
      <c r="W488" s="44"/>
      <c r="X488" s="44"/>
      <c r="Y488" s="44"/>
      <c r="Z488" s="44"/>
      <c r="AA488" s="44"/>
      <c r="AB488" s="44"/>
      <c r="AC488" s="44"/>
      <c r="AD488" s="44"/>
      <c r="AE488" s="44"/>
      <c r="AF488" s="44"/>
      <c r="AG488" s="44"/>
      <c r="AH488" s="44"/>
      <c r="AI488" s="44"/>
      <c r="AJ488" s="44"/>
      <c r="AK488" s="44"/>
      <c r="AL488" s="44"/>
    </row>
    <row r="489" spans="1:38" ht="15.75" customHeight="1" x14ac:dyDescent="0.25">
      <c r="A489" s="44"/>
      <c r="B489" s="44"/>
      <c r="C489" s="44"/>
      <c r="D489" s="44"/>
      <c r="E489" s="44"/>
      <c r="F489" s="44"/>
      <c r="G489" s="205"/>
      <c r="H489" s="44"/>
      <c r="I489" s="44"/>
      <c r="J489" s="44"/>
      <c r="K489" s="44"/>
      <c r="L489" s="44"/>
      <c r="M489" s="44"/>
      <c r="N489" s="44"/>
      <c r="O489" s="44"/>
      <c r="P489" s="44"/>
      <c r="Q489" s="44"/>
      <c r="R489" s="44"/>
      <c r="S489" s="44"/>
      <c r="T489" s="44"/>
      <c r="U489" s="44"/>
      <c r="V489" s="44"/>
      <c r="W489" s="44"/>
      <c r="X489" s="44"/>
      <c r="Y489" s="44"/>
      <c r="Z489" s="44"/>
      <c r="AA489" s="44"/>
      <c r="AB489" s="44"/>
      <c r="AC489" s="44"/>
      <c r="AD489" s="44"/>
      <c r="AE489" s="44"/>
      <c r="AF489" s="44"/>
      <c r="AG489" s="44"/>
      <c r="AH489" s="44"/>
      <c r="AI489" s="44"/>
      <c r="AJ489" s="44"/>
      <c r="AK489" s="44"/>
      <c r="AL489" s="44"/>
    </row>
    <row r="490" spans="1:38" ht="15.75" customHeight="1" x14ac:dyDescent="0.25">
      <c r="A490" s="44"/>
      <c r="B490" s="44"/>
      <c r="C490" s="44"/>
      <c r="D490" s="44"/>
      <c r="E490" s="44"/>
      <c r="F490" s="44"/>
      <c r="G490" s="205"/>
      <c r="H490" s="44"/>
      <c r="I490" s="44"/>
      <c r="J490" s="44"/>
      <c r="K490" s="44"/>
      <c r="L490" s="44"/>
      <c r="M490" s="44"/>
      <c r="N490" s="44"/>
      <c r="O490" s="44"/>
      <c r="P490" s="44"/>
      <c r="Q490" s="44"/>
      <c r="R490" s="44"/>
      <c r="S490" s="44"/>
      <c r="T490" s="44"/>
      <c r="U490" s="44"/>
      <c r="V490" s="44"/>
      <c r="W490" s="44"/>
      <c r="X490" s="44"/>
      <c r="Y490" s="44"/>
      <c r="Z490" s="44"/>
      <c r="AA490" s="44"/>
      <c r="AB490" s="44"/>
      <c r="AC490" s="44"/>
      <c r="AD490" s="44"/>
      <c r="AE490" s="44"/>
      <c r="AF490" s="44"/>
      <c r="AG490" s="44"/>
      <c r="AH490" s="44"/>
      <c r="AI490" s="44"/>
      <c r="AJ490" s="44"/>
      <c r="AK490" s="44"/>
      <c r="AL490" s="44"/>
    </row>
    <row r="491" spans="1:38" ht="15.75" customHeight="1" x14ac:dyDescent="0.25">
      <c r="A491" s="44"/>
      <c r="B491" s="44"/>
      <c r="C491" s="44"/>
      <c r="D491" s="44"/>
      <c r="E491" s="44"/>
      <c r="F491" s="44"/>
      <c r="G491" s="205"/>
      <c r="H491" s="44"/>
      <c r="I491" s="44"/>
      <c r="J491" s="44"/>
      <c r="K491" s="44"/>
      <c r="L491" s="44"/>
      <c r="M491" s="44"/>
      <c r="N491" s="44"/>
      <c r="O491" s="44"/>
      <c r="P491" s="44"/>
      <c r="Q491" s="44"/>
      <c r="R491" s="44"/>
      <c r="S491" s="44"/>
      <c r="T491" s="44"/>
      <c r="U491" s="44"/>
      <c r="V491" s="44"/>
      <c r="W491" s="44"/>
      <c r="X491" s="44"/>
      <c r="Y491" s="44"/>
      <c r="Z491" s="44"/>
      <c r="AA491" s="44"/>
      <c r="AB491" s="44"/>
      <c r="AC491" s="44"/>
      <c r="AD491" s="44"/>
      <c r="AE491" s="44"/>
      <c r="AF491" s="44"/>
      <c r="AG491" s="44"/>
      <c r="AH491" s="44"/>
      <c r="AI491" s="44"/>
      <c r="AJ491" s="44"/>
      <c r="AK491" s="44"/>
      <c r="AL491" s="44"/>
    </row>
    <row r="492" spans="1:38" ht="15.75" customHeight="1" x14ac:dyDescent="0.25">
      <c r="A492" s="44"/>
      <c r="B492" s="44"/>
      <c r="C492" s="44"/>
      <c r="D492" s="44"/>
      <c r="E492" s="44"/>
      <c r="F492" s="44"/>
      <c r="G492" s="205"/>
      <c r="H492" s="44"/>
      <c r="I492" s="44"/>
      <c r="J492" s="44"/>
      <c r="K492" s="44"/>
      <c r="L492" s="44"/>
      <c r="M492" s="44"/>
      <c r="N492" s="44"/>
      <c r="O492" s="44"/>
      <c r="P492" s="44"/>
      <c r="Q492" s="44"/>
      <c r="R492" s="44"/>
      <c r="S492" s="44"/>
      <c r="T492" s="44"/>
      <c r="U492" s="44"/>
      <c r="V492" s="44"/>
      <c r="W492" s="44"/>
      <c r="X492" s="44"/>
      <c r="Y492" s="44"/>
      <c r="Z492" s="44"/>
      <c r="AA492" s="44"/>
      <c r="AB492" s="44"/>
      <c r="AC492" s="44"/>
      <c r="AD492" s="44"/>
      <c r="AE492" s="44"/>
      <c r="AF492" s="44"/>
      <c r="AG492" s="44"/>
      <c r="AH492" s="44"/>
      <c r="AI492" s="44"/>
      <c r="AJ492" s="44"/>
      <c r="AK492" s="44"/>
      <c r="AL492" s="44"/>
    </row>
    <row r="493" spans="1:38" ht="15.75" customHeight="1" x14ac:dyDescent="0.25">
      <c r="A493" s="44"/>
      <c r="B493" s="44"/>
      <c r="C493" s="44"/>
      <c r="D493" s="44"/>
      <c r="E493" s="44"/>
      <c r="F493" s="44"/>
      <c r="G493" s="205"/>
      <c r="H493" s="44"/>
      <c r="I493" s="44"/>
      <c r="J493" s="44"/>
      <c r="K493" s="44"/>
      <c r="L493" s="44"/>
      <c r="M493" s="44"/>
      <c r="N493" s="44"/>
      <c r="O493" s="44"/>
      <c r="P493" s="44"/>
      <c r="Q493" s="44"/>
      <c r="R493" s="44"/>
      <c r="S493" s="44"/>
      <c r="T493" s="44"/>
      <c r="U493" s="44"/>
      <c r="V493" s="44"/>
      <c r="W493" s="44"/>
      <c r="X493" s="44"/>
      <c r="Y493" s="44"/>
      <c r="Z493" s="44"/>
      <c r="AA493" s="44"/>
      <c r="AB493" s="44"/>
      <c r="AC493" s="44"/>
      <c r="AD493" s="44"/>
      <c r="AE493" s="44"/>
      <c r="AF493" s="44"/>
      <c r="AG493" s="44"/>
      <c r="AH493" s="44"/>
      <c r="AI493" s="44"/>
      <c r="AJ493" s="44"/>
      <c r="AK493" s="44"/>
      <c r="AL493" s="44"/>
    </row>
    <row r="494" spans="1:38" ht="15.75" customHeight="1" x14ac:dyDescent="0.25">
      <c r="A494" s="44"/>
      <c r="B494" s="44"/>
      <c r="C494" s="44"/>
      <c r="D494" s="44"/>
      <c r="E494" s="44"/>
      <c r="F494" s="44"/>
      <c r="G494" s="205"/>
      <c r="H494" s="44"/>
      <c r="I494" s="44"/>
      <c r="J494" s="44"/>
      <c r="K494" s="44"/>
      <c r="L494" s="44"/>
      <c r="M494" s="44"/>
      <c r="N494" s="44"/>
      <c r="O494" s="44"/>
      <c r="P494" s="44"/>
      <c r="Q494" s="44"/>
      <c r="R494" s="44"/>
      <c r="S494" s="44"/>
      <c r="T494" s="44"/>
      <c r="U494" s="44"/>
      <c r="V494" s="44"/>
      <c r="W494" s="44"/>
      <c r="X494" s="44"/>
      <c r="Y494" s="44"/>
      <c r="Z494" s="44"/>
      <c r="AA494" s="44"/>
      <c r="AB494" s="44"/>
      <c r="AC494" s="44"/>
      <c r="AD494" s="44"/>
      <c r="AE494" s="44"/>
      <c r="AF494" s="44"/>
      <c r="AG494" s="44"/>
      <c r="AH494" s="44"/>
      <c r="AI494" s="44"/>
      <c r="AJ494" s="44"/>
      <c r="AK494" s="44"/>
      <c r="AL494" s="44"/>
    </row>
    <row r="495" spans="1:38" ht="15.75" customHeight="1" x14ac:dyDescent="0.25">
      <c r="A495" s="44"/>
      <c r="B495" s="44"/>
      <c r="C495" s="44"/>
      <c r="D495" s="44"/>
      <c r="E495" s="44"/>
      <c r="F495" s="44"/>
      <c r="G495" s="205"/>
      <c r="H495" s="44"/>
      <c r="I495" s="44"/>
      <c r="J495" s="44"/>
      <c r="K495" s="44"/>
      <c r="L495" s="44"/>
      <c r="M495" s="44"/>
      <c r="N495" s="44"/>
      <c r="O495" s="44"/>
      <c r="P495" s="44"/>
      <c r="Q495" s="44"/>
      <c r="R495" s="44"/>
      <c r="S495" s="44"/>
      <c r="T495" s="44"/>
      <c r="U495" s="44"/>
      <c r="V495" s="44"/>
      <c r="W495" s="44"/>
      <c r="X495" s="44"/>
      <c r="Y495" s="44"/>
      <c r="Z495" s="44"/>
      <c r="AA495" s="44"/>
      <c r="AB495" s="44"/>
      <c r="AC495" s="44"/>
      <c r="AD495" s="44"/>
      <c r="AE495" s="44"/>
      <c r="AF495" s="44"/>
      <c r="AG495" s="44"/>
      <c r="AH495" s="44"/>
      <c r="AI495" s="44"/>
      <c r="AJ495" s="44"/>
      <c r="AK495" s="44"/>
      <c r="AL495" s="44"/>
    </row>
    <row r="496" spans="1:38" ht="15.75" customHeight="1" x14ac:dyDescent="0.25">
      <c r="A496" s="44"/>
      <c r="B496" s="44"/>
      <c r="C496" s="44"/>
      <c r="D496" s="44"/>
      <c r="E496" s="44"/>
      <c r="F496" s="44"/>
      <c r="G496" s="205"/>
      <c r="H496" s="44"/>
      <c r="I496" s="44"/>
      <c r="J496" s="44"/>
      <c r="K496" s="44"/>
      <c r="L496" s="44"/>
      <c r="M496" s="44"/>
      <c r="N496" s="44"/>
      <c r="O496" s="44"/>
      <c r="P496" s="44"/>
      <c r="Q496" s="44"/>
      <c r="R496" s="44"/>
      <c r="S496" s="44"/>
      <c r="T496" s="44"/>
      <c r="U496" s="44"/>
      <c r="V496" s="44"/>
      <c r="W496" s="44"/>
      <c r="X496" s="44"/>
      <c r="Y496" s="44"/>
      <c r="Z496" s="44"/>
      <c r="AA496" s="44"/>
      <c r="AB496" s="44"/>
      <c r="AC496" s="44"/>
      <c r="AD496" s="44"/>
      <c r="AE496" s="44"/>
      <c r="AF496" s="44"/>
      <c r="AG496" s="44"/>
      <c r="AH496" s="44"/>
      <c r="AI496" s="44"/>
      <c r="AJ496" s="44"/>
      <c r="AK496" s="44"/>
      <c r="AL496" s="44"/>
    </row>
    <row r="497" spans="1:38" ht="15.75" customHeight="1" x14ac:dyDescent="0.25">
      <c r="A497" s="44"/>
      <c r="B497" s="44"/>
      <c r="C497" s="44"/>
      <c r="D497" s="44"/>
      <c r="E497" s="44"/>
      <c r="F497" s="44"/>
      <c r="G497" s="205"/>
      <c r="H497" s="44"/>
      <c r="I497" s="44"/>
      <c r="J497" s="44"/>
      <c r="K497" s="44"/>
      <c r="L497" s="44"/>
      <c r="M497" s="44"/>
      <c r="N497" s="44"/>
      <c r="O497" s="44"/>
      <c r="P497" s="44"/>
      <c r="Q497" s="44"/>
      <c r="R497" s="44"/>
      <c r="S497" s="44"/>
      <c r="T497" s="44"/>
      <c r="U497" s="44"/>
      <c r="V497" s="44"/>
      <c r="W497" s="44"/>
      <c r="X497" s="44"/>
      <c r="Y497" s="44"/>
      <c r="Z497" s="44"/>
      <c r="AA497" s="44"/>
      <c r="AB497" s="44"/>
      <c r="AC497" s="44"/>
      <c r="AD497" s="44"/>
      <c r="AE497" s="44"/>
      <c r="AF497" s="44"/>
      <c r="AG497" s="44"/>
      <c r="AH497" s="44"/>
      <c r="AI497" s="44"/>
      <c r="AJ497" s="44"/>
      <c r="AK497" s="44"/>
      <c r="AL497" s="44"/>
    </row>
    <row r="498" spans="1:38" ht="15.75" customHeight="1" x14ac:dyDescent="0.25">
      <c r="A498" s="44"/>
      <c r="B498" s="44"/>
      <c r="C498" s="44"/>
      <c r="D498" s="44"/>
      <c r="E498" s="44"/>
      <c r="F498" s="44"/>
      <c r="G498" s="205"/>
      <c r="H498" s="44"/>
      <c r="I498" s="44"/>
      <c r="J498" s="44"/>
      <c r="K498" s="44"/>
      <c r="L498" s="44"/>
      <c r="M498" s="44"/>
      <c r="N498" s="44"/>
      <c r="O498" s="44"/>
      <c r="P498" s="44"/>
      <c r="Q498" s="44"/>
      <c r="R498" s="44"/>
      <c r="S498" s="44"/>
      <c r="T498" s="44"/>
      <c r="U498" s="44"/>
      <c r="V498" s="44"/>
      <c r="W498" s="44"/>
      <c r="X498" s="44"/>
      <c r="Y498" s="44"/>
      <c r="Z498" s="44"/>
      <c r="AA498" s="44"/>
      <c r="AB498" s="44"/>
      <c r="AC498" s="44"/>
      <c r="AD498" s="44"/>
      <c r="AE498" s="44"/>
      <c r="AF498" s="44"/>
      <c r="AG498" s="44"/>
      <c r="AH498" s="44"/>
      <c r="AI498" s="44"/>
      <c r="AJ498" s="44"/>
      <c r="AK498" s="44"/>
      <c r="AL498" s="44"/>
    </row>
    <row r="499" spans="1:38" ht="15.75" customHeight="1" x14ac:dyDescent="0.25">
      <c r="A499" s="44"/>
      <c r="B499" s="44"/>
      <c r="C499" s="44"/>
      <c r="D499" s="44"/>
      <c r="E499" s="44"/>
      <c r="F499" s="44"/>
      <c r="G499" s="205"/>
      <c r="H499" s="44"/>
      <c r="I499" s="44"/>
      <c r="J499" s="44"/>
      <c r="K499" s="44"/>
      <c r="L499" s="44"/>
      <c r="M499" s="44"/>
      <c r="N499" s="44"/>
      <c r="O499" s="44"/>
      <c r="P499" s="44"/>
      <c r="Q499" s="44"/>
      <c r="R499" s="44"/>
      <c r="S499" s="44"/>
      <c r="T499" s="44"/>
      <c r="U499" s="44"/>
      <c r="V499" s="44"/>
      <c r="W499" s="44"/>
      <c r="X499" s="44"/>
      <c r="Y499" s="44"/>
      <c r="Z499" s="44"/>
      <c r="AA499" s="44"/>
      <c r="AB499" s="44"/>
      <c r="AC499" s="44"/>
      <c r="AD499" s="44"/>
      <c r="AE499" s="44"/>
      <c r="AF499" s="44"/>
      <c r="AG499" s="44"/>
      <c r="AH499" s="44"/>
      <c r="AI499" s="44"/>
      <c r="AJ499" s="44"/>
      <c r="AK499" s="44"/>
      <c r="AL499" s="44"/>
    </row>
    <row r="500" spans="1:38" ht="15.75" customHeight="1" x14ac:dyDescent="0.25">
      <c r="A500" s="44"/>
      <c r="B500" s="44"/>
      <c r="C500" s="44"/>
      <c r="D500" s="44"/>
      <c r="E500" s="44"/>
      <c r="F500" s="44"/>
      <c r="G500" s="205"/>
      <c r="H500" s="44"/>
      <c r="I500" s="44"/>
      <c r="J500" s="44"/>
      <c r="K500" s="44"/>
      <c r="L500" s="44"/>
      <c r="M500" s="44"/>
      <c r="N500" s="44"/>
      <c r="O500" s="44"/>
      <c r="P500" s="44"/>
      <c r="Q500" s="44"/>
      <c r="R500" s="44"/>
      <c r="S500" s="44"/>
      <c r="T500" s="44"/>
      <c r="U500" s="44"/>
      <c r="V500" s="44"/>
      <c r="W500" s="44"/>
      <c r="X500" s="44"/>
      <c r="Y500" s="44"/>
      <c r="Z500" s="44"/>
      <c r="AA500" s="44"/>
      <c r="AB500" s="44"/>
      <c r="AC500" s="44"/>
      <c r="AD500" s="44"/>
      <c r="AE500" s="44"/>
      <c r="AF500" s="44"/>
      <c r="AG500" s="44"/>
      <c r="AH500" s="44"/>
      <c r="AI500" s="44"/>
      <c r="AJ500" s="44"/>
      <c r="AK500" s="44"/>
      <c r="AL500" s="44"/>
    </row>
    <row r="501" spans="1:38" ht="15.75" customHeight="1" x14ac:dyDescent="0.25">
      <c r="A501" s="44"/>
      <c r="B501" s="44"/>
      <c r="C501" s="44"/>
      <c r="D501" s="44"/>
      <c r="E501" s="44"/>
      <c r="F501" s="44"/>
      <c r="G501" s="205"/>
      <c r="H501" s="44"/>
      <c r="I501" s="44"/>
      <c r="J501" s="44"/>
      <c r="K501" s="44"/>
      <c r="L501" s="44"/>
      <c r="M501" s="44"/>
      <c r="N501" s="44"/>
      <c r="O501" s="44"/>
      <c r="P501" s="44"/>
      <c r="Q501" s="44"/>
      <c r="R501" s="44"/>
      <c r="S501" s="44"/>
      <c r="T501" s="44"/>
      <c r="U501" s="44"/>
      <c r="V501" s="44"/>
      <c r="W501" s="44"/>
      <c r="X501" s="44"/>
      <c r="Y501" s="44"/>
      <c r="Z501" s="44"/>
      <c r="AA501" s="44"/>
      <c r="AB501" s="44"/>
      <c r="AC501" s="44"/>
      <c r="AD501" s="44"/>
      <c r="AE501" s="44"/>
      <c r="AF501" s="44"/>
      <c r="AG501" s="44"/>
      <c r="AH501" s="44"/>
      <c r="AI501" s="44"/>
      <c r="AJ501" s="44"/>
      <c r="AK501" s="44"/>
      <c r="AL501" s="44"/>
    </row>
    <row r="502" spans="1:38" ht="15.75" customHeight="1" x14ac:dyDescent="0.25">
      <c r="A502" s="44"/>
      <c r="B502" s="44"/>
      <c r="C502" s="44"/>
      <c r="D502" s="44"/>
      <c r="E502" s="44"/>
      <c r="F502" s="44"/>
      <c r="G502" s="205"/>
      <c r="H502" s="44"/>
      <c r="I502" s="44"/>
      <c r="J502" s="44"/>
      <c r="K502" s="44"/>
      <c r="L502" s="44"/>
      <c r="M502" s="44"/>
      <c r="N502" s="44"/>
      <c r="O502" s="44"/>
      <c r="P502" s="44"/>
      <c r="Q502" s="44"/>
      <c r="R502" s="44"/>
      <c r="S502" s="44"/>
      <c r="T502" s="44"/>
      <c r="U502" s="44"/>
      <c r="V502" s="44"/>
      <c r="W502" s="44"/>
      <c r="X502" s="44"/>
      <c r="Y502" s="44"/>
      <c r="Z502" s="44"/>
      <c r="AA502" s="44"/>
      <c r="AB502" s="44"/>
      <c r="AC502" s="44"/>
      <c r="AD502" s="44"/>
      <c r="AE502" s="44"/>
      <c r="AF502" s="44"/>
      <c r="AG502" s="44"/>
      <c r="AH502" s="44"/>
      <c r="AI502" s="44"/>
      <c r="AJ502" s="44"/>
      <c r="AK502" s="44"/>
      <c r="AL502" s="44"/>
    </row>
    <row r="503" spans="1:38" ht="15.75" customHeight="1" x14ac:dyDescent="0.25">
      <c r="A503" s="44"/>
      <c r="B503" s="44"/>
      <c r="C503" s="44"/>
      <c r="D503" s="44"/>
      <c r="E503" s="44"/>
      <c r="F503" s="44"/>
      <c r="G503" s="205"/>
      <c r="H503" s="44"/>
      <c r="I503" s="44"/>
      <c r="J503" s="44"/>
      <c r="K503" s="44"/>
      <c r="L503" s="44"/>
      <c r="M503" s="44"/>
      <c r="N503" s="44"/>
      <c r="O503" s="44"/>
      <c r="P503" s="44"/>
      <c r="Q503" s="44"/>
      <c r="R503" s="44"/>
      <c r="S503" s="44"/>
      <c r="T503" s="44"/>
      <c r="U503" s="44"/>
      <c r="V503" s="44"/>
      <c r="W503" s="44"/>
      <c r="X503" s="44"/>
      <c r="Y503" s="44"/>
      <c r="Z503" s="44"/>
      <c r="AA503" s="44"/>
      <c r="AB503" s="44"/>
      <c r="AC503" s="44"/>
      <c r="AD503" s="44"/>
      <c r="AE503" s="44"/>
      <c r="AF503" s="44"/>
      <c r="AG503" s="44"/>
      <c r="AH503" s="44"/>
      <c r="AI503" s="44"/>
      <c r="AJ503" s="44"/>
      <c r="AK503" s="44"/>
      <c r="AL503" s="44"/>
    </row>
    <row r="504" spans="1:38" ht="15.75" customHeight="1" x14ac:dyDescent="0.25">
      <c r="A504" s="44"/>
      <c r="B504" s="44"/>
      <c r="C504" s="44"/>
      <c r="D504" s="44"/>
      <c r="E504" s="44"/>
      <c r="F504" s="44"/>
      <c r="G504" s="205"/>
      <c r="H504" s="44"/>
      <c r="I504" s="44"/>
      <c r="J504" s="44"/>
      <c r="K504" s="44"/>
      <c r="L504" s="44"/>
      <c r="M504" s="44"/>
      <c r="N504" s="44"/>
      <c r="O504" s="44"/>
      <c r="P504" s="44"/>
      <c r="Q504" s="44"/>
      <c r="R504" s="44"/>
      <c r="S504" s="44"/>
      <c r="T504" s="44"/>
      <c r="U504" s="44"/>
      <c r="V504" s="44"/>
      <c r="W504" s="44"/>
      <c r="X504" s="44"/>
      <c r="Y504" s="44"/>
      <c r="Z504" s="44"/>
      <c r="AA504" s="44"/>
      <c r="AB504" s="44"/>
      <c r="AC504" s="44"/>
      <c r="AD504" s="44"/>
      <c r="AE504" s="44"/>
      <c r="AF504" s="44"/>
      <c r="AG504" s="44"/>
      <c r="AH504" s="44"/>
      <c r="AI504" s="44"/>
      <c r="AJ504" s="44"/>
      <c r="AK504" s="44"/>
      <c r="AL504" s="44"/>
    </row>
    <row r="505" spans="1:38" ht="15.75" customHeight="1" x14ac:dyDescent="0.25">
      <c r="A505" s="44"/>
      <c r="B505" s="44"/>
      <c r="C505" s="44"/>
      <c r="D505" s="44"/>
      <c r="E505" s="44"/>
      <c r="F505" s="44"/>
      <c r="G505" s="205"/>
      <c r="H505" s="44"/>
      <c r="I505" s="44"/>
      <c r="J505" s="44"/>
      <c r="K505" s="44"/>
      <c r="L505" s="44"/>
      <c r="M505" s="44"/>
      <c r="N505" s="44"/>
      <c r="O505" s="44"/>
      <c r="P505" s="44"/>
      <c r="Q505" s="44"/>
      <c r="R505" s="44"/>
      <c r="S505" s="44"/>
      <c r="T505" s="44"/>
      <c r="U505" s="44"/>
      <c r="V505" s="44"/>
      <c r="W505" s="44"/>
      <c r="X505" s="44"/>
      <c r="Y505" s="44"/>
      <c r="Z505" s="44"/>
      <c r="AA505" s="44"/>
      <c r="AB505" s="44"/>
      <c r="AC505" s="44"/>
      <c r="AD505" s="44"/>
      <c r="AE505" s="44"/>
      <c r="AF505" s="44"/>
      <c r="AG505" s="44"/>
      <c r="AH505" s="44"/>
      <c r="AI505" s="44"/>
      <c r="AJ505" s="44"/>
      <c r="AK505" s="44"/>
      <c r="AL505" s="44"/>
    </row>
    <row r="506" spans="1:38" ht="15.75" customHeight="1" x14ac:dyDescent="0.25">
      <c r="A506" s="44"/>
      <c r="B506" s="44"/>
      <c r="C506" s="44"/>
      <c r="D506" s="44"/>
      <c r="E506" s="44"/>
      <c r="F506" s="44"/>
      <c r="G506" s="205"/>
      <c r="H506" s="44"/>
      <c r="I506" s="44"/>
      <c r="J506" s="44"/>
      <c r="K506" s="44"/>
      <c r="L506" s="44"/>
      <c r="M506" s="44"/>
      <c r="N506" s="44"/>
      <c r="O506" s="44"/>
      <c r="P506" s="44"/>
      <c r="Q506" s="44"/>
      <c r="R506" s="44"/>
      <c r="S506" s="44"/>
      <c r="T506" s="44"/>
      <c r="U506" s="44"/>
      <c r="V506" s="44"/>
      <c r="W506" s="44"/>
      <c r="X506" s="44"/>
      <c r="Y506" s="44"/>
      <c r="Z506" s="44"/>
      <c r="AA506" s="44"/>
      <c r="AB506" s="44"/>
      <c r="AC506" s="44"/>
      <c r="AD506" s="44"/>
      <c r="AE506" s="44"/>
      <c r="AF506" s="44"/>
      <c r="AG506" s="44"/>
      <c r="AH506" s="44"/>
      <c r="AI506" s="44"/>
      <c r="AJ506" s="44"/>
      <c r="AK506" s="44"/>
      <c r="AL506" s="44"/>
    </row>
    <row r="507" spans="1:38" ht="15.75" customHeight="1" x14ac:dyDescent="0.25">
      <c r="A507" s="44"/>
      <c r="B507" s="44"/>
      <c r="C507" s="44"/>
      <c r="D507" s="44"/>
      <c r="E507" s="44"/>
      <c r="F507" s="44"/>
      <c r="G507" s="205"/>
      <c r="H507" s="44"/>
      <c r="I507" s="44"/>
      <c r="J507" s="44"/>
      <c r="K507" s="44"/>
      <c r="L507" s="44"/>
      <c r="M507" s="44"/>
      <c r="N507" s="44"/>
      <c r="O507" s="44"/>
      <c r="P507" s="44"/>
      <c r="Q507" s="44"/>
      <c r="R507" s="44"/>
      <c r="S507" s="44"/>
      <c r="T507" s="44"/>
      <c r="U507" s="44"/>
      <c r="V507" s="44"/>
      <c r="W507" s="44"/>
      <c r="X507" s="44"/>
      <c r="Y507" s="44"/>
      <c r="Z507" s="44"/>
      <c r="AA507" s="44"/>
      <c r="AB507" s="44"/>
      <c r="AC507" s="44"/>
      <c r="AD507" s="44"/>
      <c r="AE507" s="44"/>
      <c r="AF507" s="44"/>
      <c r="AG507" s="44"/>
      <c r="AH507" s="44"/>
      <c r="AI507" s="44"/>
      <c r="AJ507" s="44"/>
      <c r="AK507" s="44"/>
      <c r="AL507" s="44"/>
    </row>
    <row r="508" spans="1:38" ht="15.75" customHeight="1" x14ac:dyDescent="0.25">
      <c r="A508" s="44"/>
      <c r="B508" s="44"/>
      <c r="C508" s="44"/>
      <c r="D508" s="44"/>
      <c r="E508" s="44"/>
      <c r="F508" s="44"/>
      <c r="G508" s="205"/>
      <c r="H508" s="44"/>
      <c r="I508" s="44"/>
      <c r="J508" s="44"/>
      <c r="K508" s="44"/>
      <c r="L508" s="44"/>
      <c r="M508" s="44"/>
      <c r="N508" s="44"/>
      <c r="O508" s="44"/>
      <c r="P508" s="44"/>
      <c r="Q508" s="44"/>
      <c r="R508" s="44"/>
      <c r="S508" s="44"/>
      <c r="T508" s="44"/>
      <c r="U508" s="44"/>
      <c r="V508" s="44"/>
      <c r="W508" s="44"/>
      <c r="X508" s="44"/>
      <c r="Y508" s="44"/>
      <c r="Z508" s="44"/>
      <c r="AA508" s="44"/>
      <c r="AB508" s="44"/>
      <c r="AC508" s="44"/>
      <c r="AD508" s="44"/>
      <c r="AE508" s="44"/>
      <c r="AF508" s="44"/>
      <c r="AG508" s="44"/>
      <c r="AH508" s="44"/>
      <c r="AI508" s="44"/>
      <c r="AJ508" s="44"/>
      <c r="AK508" s="44"/>
      <c r="AL508" s="44"/>
    </row>
    <row r="509" spans="1:38" ht="15.75" customHeight="1" x14ac:dyDescent="0.25">
      <c r="A509" s="44"/>
      <c r="B509" s="44"/>
      <c r="C509" s="44"/>
      <c r="D509" s="44"/>
      <c r="E509" s="44"/>
      <c r="F509" s="44"/>
      <c r="G509" s="205"/>
      <c r="H509" s="44"/>
      <c r="I509" s="44"/>
      <c r="J509" s="44"/>
      <c r="K509" s="44"/>
      <c r="L509" s="44"/>
      <c r="M509" s="44"/>
      <c r="N509" s="44"/>
      <c r="O509" s="44"/>
      <c r="P509" s="44"/>
      <c r="Q509" s="44"/>
      <c r="R509" s="44"/>
      <c r="S509" s="44"/>
      <c r="T509" s="44"/>
      <c r="U509" s="44"/>
      <c r="V509" s="44"/>
      <c r="W509" s="44"/>
      <c r="X509" s="44"/>
      <c r="Y509" s="44"/>
      <c r="Z509" s="44"/>
      <c r="AA509" s="44"/>
      <c r="AB509" s="44"/>
      <c r="AC509" s="44"/>
      <c r="AD509" s="44"/>
      <c r="AE509" s="44"/>
      <c r="AF509" s="44"/>
      <c r="AG509" s="44"/>
      <c r="AH509" s="44"/>
      <c r="AI509" s="44"/>
      <c r="AJ509" s="44"/>
      <c r="AK509" s="44"/>
      <c r="AL509" s="44"/>
    </row>
    <row r="510" spans="1:38" ht="15.75" customHeight="1" x14ac:dyDescent="0.25">
      <c r="A510" s="44"/>
      <c r="B510" s="44"/>
      <c r="C510" s="44"/>
      <c r="D510" s="44"/>
      <c r="E510" s="44"/>
      <c r="F510" s="44"/>
      <c r="G510" s="205"/>
      <c r="H510" s="44"/>
      <c r="I510" s="44"/>
      <c r="J510" s="44"/>
      <c r="K510" s="44"/>
      <c r="L510" s="44"/>
      <c r="M510" s="44"/>
      <c r="N510" s="44"/>
      <c r="O510" s="44"/>
      <c r="P510" s="44"/>
      <c r="Q510" s="44"/>
      <c r="R510" s="44"/>
      <c r="S510" s="44"/>
      <c r="T510" s="44"/>
      <c r="U510" s="44"/>
      <c r="V510" s="44"/>
      <c r="W510" s="44"/>
      <c r="X510" s="44"/>
      <c r="Y510" s="44"/>
      <c r="Z510" s="44"/>
      <c r="AA510" s="44"/>
      <c r="AB510" s="44"/>
      <c r="AC510" s="44"/>
      <c r="AD510" s="44"/>
      <c r="AE510" s="44"/>
      <c r="AF510" s="44"/>
      <c r="AG510" s="44"/>
      <c r="AH510" s="44"/>
      <c r="AI510" s="44"/>
      <c r="AJ510" s="44"/>
      <c r="AK510" s="44"/>
      <c r="AL510" s="44"/>
    </row>
    <row r="511" spans="1:38" ht="15.75" customHeight="1" x14ac:dyDescent="0.25">
      <c r="A511" s="44"/>
      <c r="B511" s="44"/>
      <c r="C511" s="44"/>
      <c r="D511" s="44"/>
      <c r="E511" s="44"/>
      <c r="F511" s="44"/>
      <c r="G511" s="205"/>
      <c r="H511" s="44"/>
      <c r="I511" s="44"/>
      <c r="J511" s="44"/>
      <c r="K511" s="44"/>
      <c r="L511" s="44"/>
      <c r="M511" s="44"/>
      <c r="N511" s="44"/>
      <c r="O511" s="44"/>
      <c r="P511" s="44"/>
      <c r="Q511" s="44"/>
      <c r="R511" s="44"/>
      <c r="S511" s="44"/>
      <c r="T511" s="44"/>
      <c r="U511" s="44"/>
      <c r="V511" s="44"/>
      <c r="W511" s="44"/>
      <c r="X511" s="44"/>
      <c r="Y511" s="44"/>
      <c r="Z511" s="44"/>
      <c r="AA511" s="44"/>
      <c r="AB511" s="44"/>
      <c r="AC511" s="44"/>
      <c r="AD511" s="44"/>
      <c r="AE511" s="44"/>
      <c r="AF511" s="44"/>
      <c r="AG511" s="44"/>
      <c r="AH511" s="44"/>
      <c r="AI511" s="44"/>
      <c r="AJ511" s="44"/>
      <c r="AK511" s="44"/>
      <c r="AL511" s="44"/>
    </row>
    <row r="512" spans="1:38" ht="15.75" customHeight="1" x14ac:dyDescent="0.25">
      <c r="A512" s="44"/>
      <c r="B512" s="44"/>
      <c r="C512" s="44"/>
      <c r="D512" s="44"/>
      <c r="E512" s="44"/>
      <c r="F512" s="44"/>
      <c r="G512" s="205"/>
      <c r="H512" s="44"/>
      <c r="I512" s="44"/>
      <c r="J512" s="44"/>
      <c r="K512" s="44"/>
      <c r="L512" s="44"/>
      <c r="M512" s="44"/>
      <c r="N512" s="44"/>
      <c r="O512" s="44"/>
      <c r="P512" s="44"/>
      <c r="Q512" s="44"/>
      <c r="R512" s="44"/>
      <c r="S512" s="44"/>
      <c r="T512" s="44"/>
      <c r="U512" s="44"/>
      <c r="V512" s="44"/>
      <c r="W512" s="44"/>
      <c r="X512" s="44"/>
      <c r="Y512" s="44"/>
      <c r="Z512" s="44"/>
      <c r="AA512" s="44"/>
      <c r="AB512" s="44"/>
      <c r="AC512" s="44"/>
      <c r="AD512" s="44"/>
      <c r="AE512" s="44"/>
      <c r="AF512" s="44"/>
      <c r="AG512" s="44"/>
      <c r="AH512" s="44"/>
      <c r="AI512" s="44"/>
      <c r="AJ512" s="44"/>
      <c r="AK512" s="44"/>
      <c r="AL512" s="44"/>
    </row>
    <row r="513" spans="1:38" ht="15.75" customHeight="1" x14ac:dyDescent="0.25">
      <c r="A513" s="44"/>
      <c r="B513" s="44"/>
      <c r="C513" s="44"/>
      <c r="D513" s="44"/>
      <c r="E513" s="44"/>
      <c r="F513" s="44"/>
      <c r="G513" s="205"/>
      <c r="H513" s="44"/>
      <c r="I513" s="44"/>
      <c r="J513" s="44"/>
      <c r="K513" s="44"/>
      <c r="L513" s="44"/>
      <c r="M513" s="44"/>
      <c r="N513" s="44"/>
      <c r="O513" s="44"/>
      <c r="P513" s="44"/>
      <c r="Q513" s="44"/>
      <c r="R513" s="44"/>
      <c r="S513" s="44"/>
      <c r="T513" s="44"/>
      <c r="U513" s="44"/>
      <c r="V513" s="44"/>
      <c r="W513" s="44"/>
      <c r="X513" s="44"/>
      <c r="Y513" s="44"/>
      <c r="Z513" s="44"/>
      <c r="AA513" s="44"/>
      <c r="AB513" s="44"/>
      <c r="AC513" s="44"/>
      <c r="AD513" s="44"/>
      <c r="AE513" s="44"/>
      <c r="AF513" s="44"/>
      <c r="AG513" s="44"/>
      <c r="AH513" s="44"/>
      <c r="AI513" s="44"/>
      <c r="AJ513" s="44"/>
      <c r="AK513" s="44"/>
      <c r="AL513" s="44"/>
    </row>
    <row r="514" spans="1:38" ht="15.75" customHeight="1" x14ac:dyDescent="0.25">
      <c r="A514" s="44"/>
      <c r="B514" s="44"/>
      <c r="C514" s="44"/>
      <c r="D514" s="44"/>
      <c r="E514" s="44"/>
      <c r="F514" s="44"/>
      <c r="G514" s="205"/>
      <c r="H514" s="44"/>
      <c r="I514" s="44"/>
      <c r="J514" s="44"/>
      <c r="K514" s="44"/>
      <c r="L514" s="44"/>
      <c r="M514" s="44"/>
      <c r="N514" s="44"/>
      <c r="O514" s="44"/>
      <c r="P514" s="44"/>
      <c r="Q514" s="44"/>
      <c r="R514" s="44"/>
      <c r="S514" s="44"/>
      <c r="T514" s="44"/>
      <c r="U514" s="44"/>
      <c r="V514" s="44"/>
      <c r="W514" s="44"/>
      <c r="X514" s="44"/>
      <c r="Y514" s="44"/>
      <c r="Z514" s="44"/>
      <c r="AA514" s="44"/>
      <c r="AB514" s="44"/>
      <c r="AC514" s="44"/>
      <c r="AD514" s="44"/>
      <c r="AE514" s="44"/>
      <c r="AF514" s="44"/>
      <c r="AG514" s="44"/>
      <c r="AH514" s="44"/>
      <c r="AI514" s="44"/>
      <c r="AJ514" s="44"/>
      <c r="AK514" s="44"/>
      <c r="AL514" s="44"/>
    </row>
    <row r="515" spans="1:38" ht="15.75" customHeight="1" x14ac:dyDescent="0.25">
      <c r="A515" s="44"/>
      <c r="B515" s="44"/>
      <c r="C515" s="44"/>
      <c r="D515" s="44"/>
      <c r="E515" s="44"/>
      <c r="F515" s="44"/>
      <c r="G515" s="205"/>
      <c r="H515" s="44"/>
      <c r="I515" s="44"/>
      <c r="J515" s="44"/>
      <c r="K515" s="44"/>
      <c r="L515" s="44"/>
      <c r="M515" s="44"/>
      <c r="N515" s="44"/>
      <c r="O515" s="44"/>
      <c r="P515" s="44"/>
      <c r="Q515" s="44"/>
      <c r="R515" s="44"/>
      <c r="S515" s="44"/>
      <c r="T515" s="44"/>
      <c r="U515" s="44"/>
      <c r="V515" s="44"/>
      <c r="W515" s="44"/>
      <c r="X515" s="44"/>
      <c r="Y515" s="44"/>
      <c r="Z515" s="44"/>
      <c r="AA515" s="44"/>
      <c r="AB515" s="44"/>
      <c r="AC515" s="44"/>
      <c r="AD515" s="44"/>
      <c r="AE515" s="44"/>
      <c r="AF515" s="44"/>
      <c r="AG515" s="44"/>
      <c r="AH515" s="44"/>
      <c r="AI515" s="44"/>
      <c r="AJ515" s="44"/>
      <c r="AK515" s="44"/>
      <c r="AL515" s="44"/>
    </row>
    <row r="516" spans="1:38" ht="15.75" customHeight="1" x14ac:dyDescent="0.25">
      <c r="A516" s="44"/>
      <c r="B516" s="44"/>
      <c r="C516" s="44"/>
      <c r="D516" s="44"/>
      <c r="E516" s="44"/>
      <c r="F516" s="44"/>
      <c r="G516" s="205"/>
      <c r="H516" s="44"/>
      <c r="I516" s="44"/>
      <c r="J516" s="44"/>
      <c r="K516" s="44"/>
      <c r="L516" s="44"/>
      <c r="M516" s="44"/>
      <c r="N516" s="44"/>
      <c r="O516" s="44"/>
      <c r="P516" s="44"/>
      <c r="Q516" s="44"/>
      <c r="R516" s="44"/>
      <c r="S516" s="44"/>
      <c r="T516" s="44"/>
      <c r="U516" s="44"/>
      <c r="V516" s="44"/>
      <c r="W516" s="44"/>
      <c r="X516" s="44"/>
      <c r="Y516" s="44"/>
      <c r="Z516" s="44"/>
      <c r="AA516" s="44"/>
      <c r="AB516" s="44"/>
      <c r="AC516" s="44"/>
      <c r="AD516" s="44"/>
      <c r="AE516" s="44"/>
      <c r="AF516" s="44"/>
      <c r="AG516" s="44"/>
      <c r="AH516" s="44"/>
      <c r="AI516" s="44"/>
      <c r="AJ516" s="44"/>
      <c r="AK516" s="44"/>
      <c r="AL516" s="44"/>
    </row>
    <row r="517" spans="1:38" ht="15.75" customHeight="1" x14ac:dyDescent="0.25">
      <c r="A517" s="44"/>
      <c r="B517" s="44"/>
      <c r="C517" s="44"/>
      <c r="D517" s="44"/>
      <c r="E517" s="44"/>
      <c r="F517" s="44"/>
      <c r="G517" s="205"/>
      <c r="H517" s="44"/>
      <c r="I517" s="44"/>
      <c r="J517" s="44"/>
      <c r="K517" s="44"/>
      <c r="L517" s="44"/>
      <c r="M517" s="44"/>
      <c r="N517" s="44"/>
      <c r="O517" s="44"/>
      <c r="P517" s="44"/>
      <c r="Q517" s="44"/>
      <c r="R517" s="44"/>
      <c r="S517" s="44"/>
      <c r="T517" s="44"/>
      <c r="U517" s="44"/>
      <c r="V517" s="44"/>
      <c r="W517" s="44"/>
      <c r="X517" s="44"/>
      <c r="Y517" s="44"/>
      <c r="Z517" s="44"/>
      <c r="AA517" s="44"/>
      <c r="AB517" s="44"/>
      <c r="AC517" s="44"/>
      <c r="AD517" s="44"/>
      <c r="AE517" s="44"/>
      <c r="AF517" s="44"/>
      <c r="AG517" s="44"/>
      <c r="AH517" s="44"/>
      <c r="AI517" s="44"/>
      <c r="AJ517" s="44"/>
      <c r="AK517" s="44"/>
      <c r="AL517" s="44"/>
    </row>
    <row r="518" spans="1:38" ht="15.75" customHeight="1" x14ac:dyDescent="0.25">
      <c r="A518" s="44"/>
      <c r="B518" s="44"/>
      <c r="C518" s="44"/>
      <c r="D518" s="44"/>
      <c r="E518" s="44"/>
      <c r="F518" s="44"/>
      <c r="G518" s="205"/>
      <c r="H518" s="44"/>
      <c r="I518" s="44"/>
      <c r="J518" s="44"/>
      <c r="K518" s="44"/>
      <c r="L518" s="44"/>
      <c r="M518" s="44"/>
      <c r="N518" s="44"/>
      <c r="O518" s="44"/>
      <c r="P518" s="44"/>
      <c r="Q518" s="44"/>
      <c r="R518" s="44"/>
      <c r="S518" s="44"/>
      <c r="T518" s="44"/>
      <c r="U518" s="44"/>
      <c r="V518" s="44"/>
      <c r="W518" s="44"/>
      <c r="X518" s="44"/>
      <c r="Y518" s="44"/>
      <c r="Z518" s="44"/>
      <c r="AA518" s="44"/>
      <c r="AB518" s="44"/>
      <c r="AC518" s="44"/>
      <c r="AD518" s="44"/>
      <c r="AE518" s="44"/>
      <c r="AF518" s="44"/>
      <c r="AG518" s="44"/>
      <c r="AH518" s="44"/>
      <c r="AI518" s="44"/>
      <c r="AJ518" s="44"/>
      <c r="AK518" s="44"/>
      <c r="AL518" s="44"/>
    </row>
    <row r="519" spans="1:38" ht="15.75" customHeight="1" x14ac:dyDescent="0.25">
      <c r="A519" s="44"/>
      <c r="B519" s="44"/>
      <c r="C519" s="44"/>
      <c r="D519" s="44"/>
      <c r="E519" s="44"/>
      <c r="F519" s="44"/>
      <c r="G519" s="205"/>
      <c r="H519" s="44"/>
      <c r="I519" s="44"/>
      <c r="J519" s="44"/>
      <c r="K519" s="44"/>
      <c r="L519" s="44"/>
      <c r="M519" s="44"/>
      <c r="N519" s="44"/>
      <c r="O519" s="44"/>
      <c r="P519" s="44"/>
      <c r="Q519" s="44"/>
      <c r="R519" s="44"/>
      <c r="S519" s="44"/>
      <c r="T519" s="44"/>
      <c r="U519" s="44"/>
      <c r="V519" s="44"/>
      <c r="W519" s="44"/>
      <c r="X519" s="44"/>
      <c r="Y519" s="44"/>
      <c r="Z519" s="44"/>
      <c r="AA519" s="44"/>
      <c r="AB519" s="44"/>
      <c r="AC519" s="44"/>
      <c r="AD519" s="44"/>
      <c r="AE519" s="44"/>
      <c r="AF519" s="44"/>
      <c r="AG519" s="44"/>
      <c r="AH519" s="44"/>
      <c r="AI519" s="44"/>
      <c r="AJ519" s="44"/>
      <c r="AK519" s="44"/>
      <c r="AL519" s="44"/>
    </row>
    <row r="520" spans="1:38" ht="15.75" customHeight="1" x14ac:dyDescent="0.25">
      <c r="A520" s="44"/>
      <c r="B520" s="44"/>
      <c r="C520" s="44"/>
      <c r="D520" s="44"/>
      <c r="E520" s="44"/>
      <c r="F520" s="44"/>
      <c r="G520" s="205"/>
      <c r="H520" s="44"/>
      <c r="I520" s="44"/>
      <c r="J520" s="44"/>
      <c r="K520" s="44"/>
      <c r="L520" s="44"/>
      <c r="M520" s="44"/>
      <c r="N520" s="44"/>
      <c r="O520" s="44"/>
      <c r="P520" s="44"/>
      <c r="Q520" s="44"/>
      <c r="R520" s="44"/>
      <c r="S520" s="44"/>
      <c r="T520" s="44"/>
      <c r="U520" s="44"/>
      <c r="V520" s="44"/>
      <c r="W520" s="44"/>
      <c r="X520" s="44"/>
      <c r="Y520" s="44"/>
      <c r="Z520" s="44"/>
      <c r="AA520" s="44"/>
      <c r="AB520" s="44"/>
      <c r="AC520" s="44"/>
      <c r="AD520" s="44"/>
      <c r="AE520" s="44"/>
      <c r="AF520" s="44"/>
      <c r="AG520" s="44"/>
      <c r="AH520" s="44"/>
      <c r="AI520" s="44"/>
      <c r="AJ520" s="44"/>
      <c r="AK520" s="44"/>
      <c r="AL520" s="44"/>
    </row>
    <row r="521" spans="1:38" ht="15.75" customHeight="1" x14ac:dyDescent="0.25">
      <c r="A521" s="44"/>
      <c r="B521" s="44"/>
      <c r="C521" s="44"/>
      <c r="D521" s="44"/>
      <c r="E521" s="44"/>
      <c r="F521" s="44"/>
      <c r="G521" s="205"/>
      <c r="H521" s="44"/>
      <c r="I521" s="44"/>
      <c r="J521" s="44"/>
      <c r="K521" s="44"/>
      <c r="L521" s="44"/>
      <c r="M521" s="44"/>
      <c r="N521" s="44"/>
      <c r="O521" s="44"/>
      <c r="P521" s="44"/>
      <c r="Q521" s="44"/>
      <c r="R521" s="44"/>
      <c r="S521" s="44"/>
      <c r="T521" s="44"/>
      <c r="U521" s="44"/>
      <c r="V521" s="44"/>
      <c r="W521" s="44"/>
      <c r="X521" s="44"/>
      <c r="Y521" s="44"/>
      <c r="Z521" s="44"/>
      <c r="AA521" s="44"/>
      <c r="AB521" s="44"/>
      <c r="AC521" s="44"/>
      <c r="AD521" s="44"/>
      <c r="AE521" s="44"/>
      <c r="AF521" s="44"/>
      <c r="AG521" s="44"/>
      <c r="AH521" s="44"/>
      <c r="AI521" s="44"/>
      <c r="AJ521" s="44"/>
      <c r="AK521" s="44"/>
      <c r="AL521" s="44"/>
    </row>
    <row r="522" spans="1:38" ht="15.75" customHeight="1" x14ac:dyDescent="0.25">
      <c r="A522" s="44"/>
      <c r="B522" s="44"/>
      <c r="C522" s="44"/>
      <c r="D522" s="44"/>
      <c r="E522" s="44"/>
      <c r="F522" s="44"/>
      <c r="G522" s="205"/>
      <c r="H522" s="44"/>
      <c r="I522" s="44"/>
      <c r="J522" s="44"/>
      <c r="K522" s="44"/>
      <c r="L522" s="44"/>
      <c r="M522" s="44"/>
      <c r="N522" s="44"/>
      <c r="O522" s="44"/>
      <c r="P522" s="44"/>
      <c r="Q522" s="44"/>
      <c r="R522" s="44"/>
      <c r="S522" s="44"/>
      <c r="T522" s="44"/>
      <c r="U522" s="44"/>
      <c r="V522" s="44"/>
      <c r="W522" s="44"/>
      <c r="X522" s="44"/>
      <c r="Y522" s="44"/>
      <c r="Z522" s="44"/>
      <c r="AA522" s="44"/>
      <c r="AB522" s="44"/>
      <c r="AC522" s="44"/>
      <c r="AD522" s="44"/>
      <c r="AE522" s="44"/>
      <c r="AF522" s="44"/>
      <c r="AG522" s="44"/>
      <c r="AH522" s="44"/>
      <c r="AI522" s="44"/>
      <c r="AJ522" s="44"/>
      <c r="AK522" s="44"/>
      <c r="AL522" s="44"/>
    </row>
    <row r="523" spans="1:38" ht="15.75" customHeight="1" x14ac:dyDescent="0.25">
      <c r="A523" s="44"/>
      <c r="B523" s="44"/>
      <c r="C523" s="44"/>
      <c r="D523" s="44"/>
      <c r="E523" s="44"/>
      <c r="F523" s="44"/>
      <c r="G523" s="205"/>
      <c r="H523" s="44"/>
      <c r="I523" s="44"/>
      <c r="J523" s="44"/>
      <c r="K523" s="44"/>
      <c r="L523" s="44"/>
      <c r="M523" s="44"/>
      <c r="N523" s="44"/>
      <c r="O523" s="44"/>
      <c r="P523" s="44"/>
      <c r="Q523" s="44"/>
      <c r="R523" s="44"/>
      <c r="S523" s="44"/>
      <c r="T523" s="44"/>
      <c r="U523" s="44"/>
      <c r="V523" s="44"/>
      <c r="W523" s="44"/>
      <c r="X523" s="44"/>
      <c r="Y523" s="44"/>
      <c r="Z523" s="44"/>
      <c r="AA523" s="44"/>
      <c r="AB523" s="44"/>
      <c r="AC523" s="44"/>
      <c r="AD523" s="44"/>
      <c r="AE523" s="44"/>
      <c r="AF523" s="44"/>
      <c r="AG523" s="44"/>
      <c r="AH523" s="44"/>
      <c r="AI523" s="44"/>
      <c r="AJ523" s="44"/>
      <c r="AK523" s="44"/>
      <c r="AL523" s="44"/>
    </row>
    <row r="524" spans="1:38" ht="15.75" customHeight="1" x14ac:dyDescent="0.25">
      <c r="A524" s="44"/>
      <c r="B524" s="44"/>
      <c r="C524" s="44"/>
      <c r="D524" s="44"/>
      <c r="E524" s="44"/>
      <c r="F524" s="44"/>
      <c r="G524" s="205"/>
      <c r="H524" s="44"/>
      <c r="I524" s="44"/>
      <c r="J524" s="44"/>
      <c r="K524" s="44"/>
      <c r="L524" s="44"/>
      <c r="M524" s="44"/>
      <c r="N524" s="44"/>
      <c r="O524" s="44"/>
      <c r="P524" s="44"/>
      <c r="Q524" s="44"/>
      <c r="R524" s="44"/>
      <c r="S524" s="44"/>
      <c r="T524" s="44"/>
      <c r="U524" s="44"/>
      <c r="V524" s="44"/>
      <c r="W524" s="44"/>
      <c r="X524" s="44"/>
      <c r="Y524" s="44"/>
      <c r="Z524" s="44"/>
      <c r="AA524" s="44"/>
      <c r="AB524" s="44"/>
      <c r="AC524" s="44"/>
      <c r="AD524" s="44"/>
      <c r="AE524" s="44"/>
      <c r="AF524" s="44"/>
      <c r="AG524" s="44"/>
      <c r="AH524" s="44"/>
      <c r="AI524" s="44"/>
      <c r="AJ524" s="44"/>
      <c r="AK524" s="44"/>
      <c r="AL524" s="44"/>
    </row>
    <row r="525" spans="1:38" ht="15.75" customHeight="1" x14ac:dyDescent="0.25">
      <c r="A525" s="44"/>
      <c r="B525" s="44"/>
      <c r="C525" s="44"/>
      <c r="D525" s="44"/>
      <c r="E525" s="44"/>
      <c r="F525" s="44"/>
      <c r="G525" s="205"/>
      <c r="H525" s="44"/>
      <c r="I525" s="44"/>
      <c r="J525" s="44"/>
      <c r="K525" s="44"/>
      <c r="L525" s="44"/>
      <c r="M525" s="44"/>
      <c r="N525" s="44"/>
      <c r="O525" s="44"/>
      <c r="P525" s="44"/>
      <c r="Q525" s="44"/>
      <c r="R525" s="44"/>
      <c r="S525" s="44"/>
      <c r="T525" s="44"/>
      <c r="U525" s="44"/>
      <c r="V525" s="44"/>
      <c r="W525" s="44"/>
      <c r="X525" s="44"/>
      <c r="Y525" s="44"/>
      <c r="Z525" s="44"/>
      <c r="AA525" s="44"/>
      <c r="AB525" s="44"/>
      <c r="AC525" s="44"/>
      <c r="AD525" s="44"/>
      <c r="AE525" s="44"/>
      <c r="AF525" s="44"/>
      <c r="AG525" s="44"/>
      <c r="AH525" s="44"/>
      <c r="AI525" s="44"/>
      <c r="AJ525" s="44"/>
      <c r="AK525" s="44"/>
      <c r="AL525" s="44"/>
    </row>
    <row r="526" spans="1:38" ht="15.75" customHeight="1" x14ac:dyDescent="0.25">
      <c r="A526" s="44"/>
      <c r="B526" s="44"/>
      <c r="C526" s="44"/>
      <c r="D526" s="44"/>
      <c r="E526" s="44"/>
      <c r="F526" s="44"/>
      <c r="G526" s="205"/>
      <c r="H526" s="44"/>
      <c r="I526" s="44"/>
      <c r="J526" s="44"/>
      <c r="K526" s="44"/>
      <c r="L526" s="44"/>
      <c r="M526" s="44"/>
      <c r="N526" s="44"/>
      <c r="O526" s="44"/>
      <c r="P526" s="44"/>
      <c r="Q526" s="44"/>
      <c r="R526" s="44"/>
      <c r="S526" s="44"/>
      <c r="T526" s="44"/>
      <c r="U526" s="44"/>
      <c r="V526" s="44"/>
      <c r="W526" s="44"/>
      <c r="X526" s="44"/>
      <c r="Y526" s="44"/>
      <c r="Z526" s="44"/>
      <c r="AA526" s="44"/>
      <c r="AB526" s="44"/>
      <c r="AC526" s="44"/>
      <c r="AD526" s="44"/>
      <c r="AE526" s="44"/>
      <c r="AF526" s="44"/>
      <c r="AG526" s="44"/>
      <c r="AH526" s="44"/>
      <c r="AI526" s="44"/>
      <c r="AJ526" s="44"/>
      <c r="AK526" s="44"/>
      <c r="AL526" s="44"/>
    </row>
    <row r="527" spans="1:38" ht="15.75" customHeight="1" x14ac:dyDescent="0.25">
      <c r="A527" s="44"/>
      <c r="B527" s="44"/>
      <c r="C527" s="44"/>
      <c r="D527" s="44"/>
      <c r="E527" s="44"/>
      <c r="F527" s="44"/>
      <c r="G527" s="205"/>
      <c r="H527" s="44"/>
      <c r="I527" s="44"/>
      <c r="J527" s="44"/>
      <c r="K527" s="44"/>
      <c r="L527" s="44"/>
      <c r="M527" s="44"/>
      <c r="N527" s="44"/>
      <c r="O527" s="44"/>
      <c r="P527" s="44"/>
      <c r="Q527" s="44"/>
      <c r="R527" s="44"/>
      <c r="S527" s="44"/>
      <c r="T527" s="44"/>
      <c r="U527" s="44"/>
      <c r="V527" s="44"/>
      <c r="W527" s="44"/>
      <c r="X527" s="44"/>
      <c r="Y527" s="44"/>
      <c r="Z527" s="44"/>
      <c r="AA527" s="44"/>
      <c r="AB527" s="44"/>
      <c r="AC527" s="44"/>
      <c r="AD527" s="44"/>
      <c r="AE527" s="44"/>
      <c r="AF527" s="44"/>
      <c r="AG527" s="44"/>
      <c r="AH527" s="44"/>
      <c r="AI527" s="44"/>
      <c r="AJ527" s="44"/>
      <c r="AK527" s="44"/>
      <c r="AL527" s="44"/>
    </row>
    <row r="528" spans="1:38" ht="15.75" customHeight="1" x14ac:dyDescent="0.25">
      <c r="A528" s="44"/>
      <c r="B528" s="44"/>
      <c r="C528" s="44"/>
      <c r="D528" s="44"/>
      <c r="E528" s="44"/>
      <c r="F528" s="44"/>
      <c r="G528" s="205"/>
      <c r="H528" s="44"/>
      <c r="I528" s="44"/>
      <c r="J528" s="44"/>
      <c r="K528" s="44"/>
      <c r="L528" s="44"/>
      <c r="M528" s="44"/>
      <c r="N528" s="44"/>
      <c r="O528" s="44"/>
      <c r="P528" s="44"/>
      <c r="Q528" s="44"/>
      <c r="R528" s="44"/>
      <c r="S528" s="44"/>
      <c r="T528" s="44"/>
      <c r="U528" s="44"/>
      <c r="V528" s="44"/>
      <c r="W528" s="44"/>
      <c r="X528" s="44"/>
      <c r="Y528" s="44"/>
      <c r="Z528" s="44"/>
      <c r="AA528" s="44"/>
      <c r="AB528" s="44"/>
      <c r="AC528" s="44"/>
      <c r="AD528" s="44"/>
      <c r="AE528" s="44"/>
      <c r="AF528" s="44"/>
      <c r="AG528" s="44"/>
      <c r="AH528" s="44"/>
      <c r="AI528" s="44"/>
      <c r="AJ528" s="44"/>
      <c r="AK528" s="44"/>
      <c r="AL528" s="44"/>
    </row>
    <row r="529" spans="1:38" ht="15.75" customHeight="1" x14ac:dyDescent="0.25">
      <c r="A529" s="44"/>
      <c r="R529" s="44"/>
      <c r="S529" s="44"/>
      <c r="T529" s="44"/>
      <c r="U529" s="44"/>
      <c r="V529" s="44"/>
      <c r="W529" s="44"/>
      <c r="X529" s="44"/>
      <c r="Y529" s="44"/>
      <c r="Z529" s="44"/>
      <c r="AA529" s="44"/>
      <c r="AB529" s="44"/>
      <c r="AC529" s="44"/>
      <c r="AD529" s="44"/>
      <c r="AE529" s="44"/>
      <c r="AF529" s="44"/>
      <c r="AG529" s="44"/>
      <c r="AH529" s="44"/>
      <c r="AI529" s="44"/>
      <c r="AJ529" s="44"/>
      <c r="AK529" s="44"/>
      <c r="AL529" s="44"/>
    </row>
    <row r="530" spans="1:38" ht="15.75" customHeight="1" x14ac:dyDescent="0.25">
      <c r="A530" s="44"/>
      <c r="R530" s="44"/>
      <c r="S530" s="44"/>
      <c r="T530" s="44"/>
      <c r="U530" s="44"/>
      <c r="V530" s="44"/>
      <c r="W530" s="44"/>
      <c r="X530" s="44"/>
      <c r="Y530" s="44"/>
      <c r="Z530" s="44"/>
      <c r="AA530" s="44"/>
      <c r="AB530" s="44"/>
      <c r="AC530" s="44"/>
      <c r="AD530" s="44"/>
      <c r="AE530" s="44"/>
      <c r="AF530" s="44"/>
      <c r="AG530" s="44"/>
      <c r="AH530" s="44"/>
      <c r="AI530" s="44"/>
      <c r="AJ530" s="44"/>
      <c r="AK530" s="44"/>
      <c r="AL530" s="44"/>
    </row>
    <row r="531" spans="1:38" ht="15.75" customHeight="1" x14ac:dyDescent="0.25">
      <c r="A531" s="44"/>
      <c r="R531" s="44"/>
      <c r="S531" s="44"/>
      <c r="T531" s="44"/>
      <c r="U531" s="44"/>
      <c r="V531" s="44"/>
      <c r="W531" s="44"/>
      <c r="X531" s="44"/>
      <c r="Y531" s="44"/>
      <c r="Z531" s="44"/>
      <c r="AA531" s="44"/>
      <c r="AB531" s="44"/>
      <c r="AC531" s="44"/>
      <c r="AD531" s="44"/>
      <c r="AE531" s="44"/>
      <c r="AF531" s="44"/>
      <c r="AG531" s="44"/>
      <c r="AH531" s="44"/>
      <c r="AI531" s="44"/>
      <c r="AJ531" s="44"/>
      <c r="AK531" s="44"/>
      <c r="AL531" s="44"/>
    </row>
    <row r="532" spans="1:38" ht="15.75" customHeight="1" x14ac:dyDescent="0.25">
      <c r="A532" s="44"/>
      <c r="R532" s="44"/>
      <c r="S532" s="44"/>
      <c r="T532" s="44"/>
      <c r="U532" s="44"/>
      <c r="V532" s="44"/>
      <c r="W532" s="44"/>
      <c r="X532" s="44"/>
      <c r="Y532" s="44"/>
      <c r="Z532" s="44"/>
      <c r="AA532" s="44"/>
      <c r="AB532" s="44"/>
      <c r="AC532" s="44"/>
      <c r="AD532" s="44"/>
      <c r="AE532" s="44"/>
      <c r="AF532" s="44"/>
      <c r="AG532" s="44"/>
      <c r="AH532" s="44"/>
      <c r="AI532" s="44"/>
      <c r="AJ532" s="44"/>
      <c r="AK532" s="44"/>
      <c r="AL532" s="44"/>
    </row>
    <row r="533" spans="1:38" ht="15.75" customHeight="1" x14ac:dyDescent="0.25">
      <c r="A533" s="44"/>
      <c r="R533" s="44"/>
      <c r="S533" s="44"/>
      <c r="T533" s="44"/>
      <c r="U533" s="44"/>
      <c r="V533" s="44"/>
      <c r="W533" s="44"/>
      <c r="X533" s="44"/>
      <c r="Y533" s="44"/>
      <c r="Z533" s="44"/>
      <c r="AA533" s="44"/>
      <c r="AB533" s="44"/>
      <c r="AC533" s="44"/>
      <c r="AD533" s="44"/>
      <c r="AE533" s="44"/>
      <c r="AF533" s="44"/>
      <c r="AG533" s="44"/>
      <c r="AH533" s="44"/>
      <c r="AI533" s="44"/>
      <c r="AJ533" s="44"/>
      <c r="AK533" s="44"/>
      <c r="AL533" s="44"/>
    </row>
    <row r="534" spans="1:38" ht="15.75" customHeight="1" x14ac:dyDescent="0.25">
      <c r="A534" s="44"/>
      <c r="R534" s="44"/>
      <c r="S534" s="44"/>
      <c r="T534" s="44"/>
      <c r="U534" s="44"/>
      <c r="V534" s="44"/>
      <c r="W534" s="44"/>
      <c r="X534" s="44"/>
      <c r="Y534" s="44"/>
      <c r="Z534" s="44"/>
      <c r="AA534" s="44"/>
      <c r="AB534" s="44"/>
      <c r="AC534" s="44"/>
      <c r="AD534" s="44"/>
      <c r="AE534" s="44"/>
      <c r="AF534" s="44"/>
      <c r="AG534" s="44"/>
      <c r="AH534" s="44"/>
      <c r="AI534" s="44"/>
      <c r="AJ534" s="44"/>
      <c r="AK534" s="44"/>
      <c r="AL534" s="44"/>
    </row>
    <row r="535" spans="1:38" ht="15.75" customHeight="1" x14ac:dyDescent="0.25">
      <c r="A535" s="44"/>
      <c r="R535" s="44"/>
      <c r="S535" s="44"/>
      <c r="T535" s="44"/>
      <c r="U535" s="44"/>
      <c r="V535" s="44"/>
      <c r="W535" s="44"/>
      <c r="X535" s="44"/>
      <c r="Y535" s="44"/>
      <c r="Z535" s="44"/>
      <c r="AA535" s="44"/>
      <c r="AB535" s="44"/>
      <c r="AC535" s="44"/>
      <c r="AD535" s="44"/>
      <c r="AE535" s="44"/>
      <c r="AF535" s="44"/>
      <c r="AG535" s="44"/>
      <c r="AH535" s="44"/>
      <c r="AI535" s="44"/>
      <c r="AJ535" s="44"/>
      <c r="AK535" s="44"/>
      <c r="AL535" s="44"/>
    </row>
  </sheetData>
  <mergeCells count="30">
    <mergeCell ref="B485:D485"/>
    <mergeCell ref="M485:N485"/>
    <mergeCell ref="O485:Q485"/>
    <mergeCell ref="B483:D483"/>
    <mergeCell ref="M483:N483"/>
    <mergeCell ref="O483:Q483"/>
    <mergeCell ref="B484:D484"/>
    <mergeCell ref="M484:N484"/>
    <mergeCell ref="O484:Q484"/>
    <mergeCell ref="B2:Q6"/>
    <mergeCell ref="B15:B16"/>
    <mergeCell ref="C15:C16"/>
    <mergeCell ref="D15:D16"/>
    <mergeCell ref="E15:E16"/>
    <mergeCell ref="F15:F16"/>
    <mergeCell ref="G15:G16"/>
    <mergeCell ref="H15:H16"/>
    <mergeCell ref="J15:M15"/>
    <mergeCell ref="N15:P15"/>
    <mergeCell ref="Q15:Q16"/>
    <mergeCell ref="I15:I16"/>
    <mergeCell ref="B488:D488"/>
    <mergeCell ref="M488:N488"/>
    <mergeCell ref="O488:Q488"/>
    <mergeCell ref="B486:D486"/>
    <mergeCell ref="M486:N486"/>
    <mergeCell ref="O486:Q486"/>
    <mergeCell ref="B487:D487"/>
    <mergeCell ref="M487:N487"/>
    <mergeCell ref="O487:Q487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41" fitToHeight="0" orientation="landscape" r:id="rId1"/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BFBFBF"/>
    <outlinePr summaryBelow="0"/>
    <pageSetUpPr fitToPage="1"/>
  </sheetPr>
  <dimension ref="A1:Y149"/>
  <sheetViews>
    <sheetView workbookViewId="0"/>
  </sheetViews>
  <sheetFormatPr defaultColWidth="12.59765625" defaultRowHeight="15" customHeight="1" x14ac:dyDescent="0.25"/>
  <cols>
    <col min="1" max="1" width="2.8984375" customWidth="1"/>
    <col min="2" max="2" width="10.59765625" customWidth="1"/>
    <col min="3" max="3" width="14.19921875" bestFit="1" customWidth="1"/>
    <col min="4" max="4" width="11" customWidth="1"/>
    <col min="5" max="5" width="104.09765625" customWidth="1"/>
    <col min="6" max="6" width="8.5" customWidth="1"/>
    <col min="7" max="7" width="11.3984375" customWidth="1"/>
    <col min="8" max="8" width="13.5" bestFit="1" customWidth="1"/>
    <col min="9" max="9" width="14.69921875" customWidth="1"/>
    <col min="10" max="10" width="12" bestFit="1" customWidth="1"/>
    <col min="11" max="11" width="14.19921875" bestFit="1" customWidth="1"/>
    <col min="12" max="12" width="22.8984375" customWidth="1"/>
    <col min="13" max="25" width="7.59765625" customWidth="1"/>
  </cols>
  <sheetData>
    <row r="1" spans="1:25" ht="18.75" customHeight="1" x14ac:dyDescent="0.25">
      <c r="A1" s="94"/>
      <c r="B1" s="95"/>
      <c r="C1" s="96"/>
      <c r="D1" s="97"/>
      <c r="E1" s="97"/>
      <c r="F1" s="98"/>
      <c r="G1" s="99"/>
      <c r="H1" s="98"/>
      <c r="I1" s="100"/>
      <c r="J1" s="100"/>
      <c r="K1" s="101"/>
      <c r="L1" s="48"/>
      <c r="M1" s="48"/>
      <c r="N1" s="48"/>
      <c r="O1" s="48"/>
      <c r="P1" s="48"/>
      <c r="Q1" s="48"/>
      <c r="R1" s="48"/>
      <c r="S1" s="48"/>
      <c r="T1" s="48"/>
      <c r="U1" s="48"/>
      <c r="V1" s="48"/>
      <c r="W1" s="48"/>
      <c r="X1" s="48"/>
      <c r="Y1" s="48"/>
    </row>
    <row r="2" spans="1:25" ht="18.75" customHeight="1" x14ac:dyDescent="0.25">
      <c r="A2" s="94"/>
      <c r="B2" s="393" t="s">
        <v>970</v>
      </c>
      <c r="C2" s="394"/>
      <c r="D2" s="394"/>
      <c r="E2" s="394"/>
      <c r="F2" s="394"/>
      <c r="G2" s="394"/>
      <c r="H2" s="394"/>
      <c r="I2" s="394"/>
      <c r="J2" s="394"/>
      <c r="K2" s="394"/>
      <c r="L2" s="395"/>
      <c r="M2" s="48"/>
      <c r="N2" s="48"/>
      <c r="O2" s="48"/>
      <c r="P2" s="48"/>
      <c r="Q2" s="48"/>
      <c r="R2" s="48"/>
      <c r="S2" s="48"/>
      <c r="T2" s="48"/>
      <c r="U2" s="48"/>
      <c r="V2" s="48"/>
      <c r="W2" s="48"/>
      <c r="X2" s="48"/>
      <c r="Y2" s="44"/>
    </row>
    <row r="3" spans="1:25" ht="18.75" customHeight="1" x14ac:dyDescent="0.25">
      <c r="A3" s="94"/>
      <c r="B3" s="396"/>
      <c r="C3" s="397"/>
      <c r="D3" s="397"/>
      <c r="E3" s="397"/>
      <c r="F3" s="397"/>
      <c r="G3" s="397"/>
      <c r="H3" s="397"/>
      <c r="I3" s="397"/>
      <c r="J3" s="397"/>
      <c r="K3" s="397"/>
      <c r="L3" s="398"/>
      <c r="M3" s="48"/>
      <c r="N3" s="48"/>
      <c r="O3" s="48"/>
      <c r="P3" s="48"/>
      <c r="Q3" s="48"/>
      <c r="R3" s="48"/>
      <c r="S3" s="48"/>
      <c r="T3" s="48"/>
      <c r="U3" s="48"/>
      <c r="V3" s="48"/>
      <c r="W3" s="48"/>
      <c r="X3" s="48"/>
      <c r="Y3" s="44"/>
    </row>
    <row r="4" spans="1:25" ht="18.75" customHeight="1" x14ac:dyDescent="0.25">
      <c r="A4" s="94"/>
      <c r="B4" s="396"/>
      <c r="C4" s="397"/>
      <c r="D4" s="397"/>
      <c r="E4" s="397"/>
      <c r="F4" s="397"/>
      <c r="G4" s="397"/>
      <c r="H4" s="397"/>
      <c r="I4" s="397"/>
      <c r="J4" s="397"/>
      <c r="K4" s="397"/>
      <c r="L4" s="398"/>
      <c r="M4" s="48"/>
      <c r="N4" s="48"/>
      <c r="O4" s="48"/>
      <c r="P4" s="48"/>
      <c r="Q4" s="48"/>
      <c r="R4" s="48"/>
      <c r="S4" s="48"/>
      <c r="T4" s="48"/>
      <c r="U4" s="48"/>
      <c r="V4" s="48"/>
      <c r="W4" s="48"/>
      <c r="X4" s="48"/>
      <c r="Y4" s="44"/>
    </row>
    <row r="5" spans="1:25" ht="18.75" customHeight="1" x14ac:dyDescent="0.25">
      <c r="A5" s="94"/>
      <c r="B5" s="396"/>
      <c r="C5" s="397"/>
      <c r="D5" s="397"/>
      <c r="E5" s="397"/>
      <c r="F5" s="397"/>
      <c r="G5" s="397"/>
      <c r="H5" s="397"/>
      <c r="I5" s="397"/>
      <c r="J5" s="397"/>
      <c r="K5" s="397"/>
      <c r="L5" s="398"/>
      <c r="M5" s="48"/>
      <c r="N5" s="48"/>
      <c r="O5" s="48"/>
      <c r="P5" s="48"/>
      <c r="Q5" s="48"/>
      <c r="R5" s="48"/>
      <c r="S5" s="48"/>
      <c r="T5" s="48"/>
      <c r="U5" s="48"/>
      <c r="V5" s="48"/>
      <c r="W5" s="48"/>
      <c r="X5" s="48"/>
      <c r="Y5" s="44"/>
    </row>
    <row r="6" spans="1:25" ht="18.75" customHeight="1" x14ac:dyDescent="0.25">
      <c r="A6" s="94"/>
      <c r="B6" s="399"/>
      <c r="C6" s="400"/>
      <c r="D6" s="400"/>
      <c r="E6" s="400"/>
      <c r="F6" s="400"/>
      <c r="G6" s="400"/>
      <c r="H6" s="400"/>
      <c r="I6" s="400"/>
      <c r="J6" s="400"/>
      <c r="K6" s="400"/>
      <c r="L6" s="401"/>
      <c r="M6" s="48"/>
      <c r="N6" s="48"/>
      <c r="O6" s="48"/>
      <c r="P6" s="48"/>
      <c r="Q6" s="48"/>
      <c r="R6" s="48"/>
      <c r="S6" s="48"/>
      <c r="T6" s="48"/>
      <c r="U6" s="48"/>
      <c r="V6" s="48"/>
      <c r="W6" s="48"/>
      <c r="X6" s="48"/>
      <c r="Y6" s="44"/>
    </row>
    <row r="7" spans="1:25" ht="15" customHeight="1" x14ac:dyDescent="0.25">
      <c r="A7" s="94"/>
      <c r="B7" s="95"/>
      <c r="C7" s="96"/>
      <c r="D7" s="4"/>
      <c r="E7" s="97"/>
      <c r="F7" s="98"/>
      <c r="G7" s="48"/>
      <c r="H7" s="48"/>
      <c r="I7" s="48"/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4"/>
    </row>
    <row r="8" spans="1:25" ht="15" customHeight="1" x14ac:dyDescent="0.25">
      <c r="A8" s="94"/>
      <c r="B8" s="102" t="str">
        <f>'DADOS GERAIS'!$B$8</f>
        <v>Secretaria de Atenção Especializada à Saúde</v>
      </c>
      <c r="C8" s="103"/>
      <c r="D8" s="6"/>
      <c r="E8" s="201"/>
      <c r="F8" s="105"/>
      <c r="G8" s="6" t="str">
        <f>RESUMO!D8</f>
        <v>BDI Geral:</v>
      </c>
      <c r="H8" s="201"/>
      <c r="I8" s="6" t="str">
        <f>RESUMO!E8</f>
        <v>Encargo Social Mensalista:</v>
      </c>
      <c r="J8" s="106"/>
      <c r="K8" s="106"/>
      <c r="L8" s="53" t="str">
        <f>'DADOS GERAIS'!$B$22</f>
        <v>Data:</v>
      </c>
      <c r="M8" s="48"/>
      <c r="N8" s="48"/>
      <c r="O8" s="48"/>
      <c r="P8" s="48"/>
      <c r="Q8" s="48"/>
      <c r="R8" s="48"/>
      <c r="S8" s="48"/>
      <c r="T8" s="48"/>
      <c r="U8" s="48"/>
      <c r="V8" s="48"/>
      <c r="W8" s="48"/>
      <c r="X8" s="48"/>
      <c r="Y8" s="44"/>
    </row>
    <row r="9" spans="1:25" ht="15" customHeight="1" x14ac:dyDescent="0.25">
      <c r="A9" s="94"/>
      <c r="B9" s="54" t="str">
        <f>'DADOS GERAIS'!$B$9</f>
        <v>Unidade Básica de Saúde Porte 2 - Área Construída: 500,17m²</v>
      </c>
      <c r="C9" s="107"/>
      <c r="D9" s="9"/>
      <c r="E9" s="9"/>
      <c r="F9" s="45"/>
      <c r="G9" s="109">
        <f>RESUMO!D9</f>
        <v>0.26869999999999999</v>
      </c>
      <c r="H9" s="109"/>
      <c r="I9" s="109">
        <f>RESUMO!E9</f>
        <v>0.47739999999999999</v>
      </c>
      <c r="J9" s="108"/>
      <c r="L9" s="57" t="str">
        <f>'DADOS GERAIS'!$C$22</f>
        <v>02/2025</v>
      </c>
      <c r="M9" s="48"/>
      <c r="N9" s="48"/>
      <c r="O9" s="48"/>
      <c r="P9" s="48"/>
      <c r="Q9" s="48"/>
      <c r="R9" s="48"/>
      <c r="S9" s="48"/>
      <c r="T9" s="48"/>
      <c r="U9" s="48"/>
      <c r="V9" s="48"/>
      <c r="W9" s="48"/>
      <c r="X9" s="48"/>
      <c r="Y9" s="44"/>
    </row>
    <row r="10" spans="1:25" ht="15" customHeight="1" x14ac:dyDescent="0.25">
      <c r="A10" s="94"/>
      <c r="B10" s="54"/>
      <c r="C10" s="107"/>
      <c r="D10" s="9"/>
      <c r="E10" s="9"/>
      <c r="F10" s="110"/>
      <c r="G10" s="9"/>
      <c r="H10" s="9"/>
      <c r="I10" s="44"/>
      <c r="J10" s="44"/>
      <c r="L10" s="111"/>
      <c r="M10" s="48"/>
      <c r="N10" s="48"/>
      <c r="O10" s="48"/>
      <c r="P10" s="48"/>
      <c r="Q10" s="48"/>
      <c r="R10" s="48"/>
      <c r="S10" s="48"/>
      <c r="T10" s="48"/>
      <c r="U10" s="48"/>
      <c r="V10" s="48"/>
      <c r="W10" s="48"/>
      <c r="X10" s="48"/>
      <c r="Y10" s="44"/>
    </row>
    <row r="11" spans="1:25" ht="15" customHeight="1" x14ac:dyDescent="0.25">
      <c r="A11" s="94"/>
      <c r="B11" s="60" t="str">
        <f>RESUMO!B11</f>
        <v>Bancos:</v>
      </c>
      <c r="C11" s="107"/>
      <c r="D11" s="9"/>
      <c r="E11" s="9"/>
      <c r="F11" s="110"/>
      <c r="G11" s="9" t="str">
        <f>RESUMO!D11</f>
        <v>BDI Equipamentos:</v>
      </c>
      <c r="H11" s="9"/>
      <c r="I11" s="112" t="str">
        <f>RESUMO!E11</f>
        <v>Encargo Social Horista:</v>
      </c>
      <c r="J11" s="44"/>
      <c r="L11" s="59" t="str">
        <f>'DADOS GERAIS'!$B$23</f>
        <v>Revisão:</v>
      </c>
      <c r="M11" s="48"/>
      <c r="N11" s="48"/>
      <c r="O11" s="48"/>
      <c r="P11" s="48"/>
      <c r="Q11" s="48"/>
      <c r="R11" s="48"/>
      <c r="S11" s="48"/>
      <c r="T11" s="48"/>
      <c r="U11" s="48"/>
      <c r="V11" s="48"/>
      <c r="W11" s="48"/>
      <c r="X11" s="48"/>
      <c r="Y11" s="44"/>
    </row>
    <row r="12" spans="1:25" ht="15" customHeight="1" x14ac:dyDescent="0.25">
      <c r="A12" s="94"/>
      <c r="B12" s="113" t="str">
        <f>'DADOS GERAIS'!$B$12</f>
        <v>SINAPI (12/2024) - CPOS/CDHU (09/2024) - SBC (12/2024) - ORSE (12/2024) - IOPES (03/2024) - EMOP (12/2024) - SEINFRA 027 (DESONERADO)</v>
      </c>
      <c r="C12" s="107"/>
      <c r="D12" s="9"/>
      <c r="E12" s="9"/>
      <c r="F12" s="110"/>
      <c r="G12" s="109">
        <f>RESUMO!D12</f>
        <v>0.19070000000000001</v>
      </c>
      <c r="H12" s="109"/>
      <c r="I12" s="109">
        <f>RESUMO!E12</f>
        <v>0.85799999999999998</v>
      </c>
      <c r="J12" s="114"/>
      <c r="L12" s="115" t="str">
        <f>'DADOS GERAIS'!$C$23</f>
        <v>01</v>
      </c>
      <c r="M12" s="48"/>
      <c r="N12" s="48"/>
      <c r="O12" s="48"/>
      <c r="P12" s="48"/>
      <c r="Q12" s="48"/>
      <c r="R12" s="48"/>
      <c r="S12" s="48"/>
      <c r="T12" s="48"/>
      <c r="U12" s="48"/>
      <c r="V12" s="48"/>
      <c r="W12" s="48"/>
      <c r="X12" s="48"/>
      <c r="Y12" s="44"/>
    </row>
    <row r="13" spans="1:25" ht="15" customHeight="1" x14ac:dyDescent="0.25">
      <c r="A13" s="94"/>
      <c r="B13" s="116"/>
      <c r="C13" s="117"/>
      <c r="D13" s="14"/>
      <c r="E13" s="202"/>
      <c r="F13" s="119"/>
      <c r="G13" s="14"/>
      <c r="H13" s="202"/>
      <c r="I13" s="202"/>
      <c r="J13" s="120"/>
      <c r="K13" s="120"/>
      <c r="L13" s="121"/>
      <c r="M13" s="48"/>
      <c r="N13" s="48"/>
      <c r="O13" s="48"/>
      <c r="P13" s="48"/>
      <c r="Q13" s="48"/>
      <c r="R13" s="48"/>
      <c r="S13" s="48"/>
      <c r="T13" s="48"/>
      <c r="U13" s="48"/>
      <c r="V13" s="48"/>
      <c r="W13" s="48"/>
      <c r="X13" s="48"/>
      <c r="Y13" s="44"/>
    </row>
    <row r="14" spans="1:25" ht="15" customHeight="1" x14ac:dyDescent="0.25">
      <c r="A14" s="94"/>
      <c r="B14" s="95"/>
      <c r="C14" s="125"/>
      <c r="D14" s="48"/>
      <c r="E14" s="126"/>
      <c r="F14" s="4"/>
      <c r="G14" s="48"/>
      <c r="H14" s="48"/>
      <c r="I14" s="48"/>
      <c r="J14" s="48"/>
      <c r="K14" s="48"/>
      <c r="L14" s="48"/>
      <c r="M14" s="48"/>
      <c r="N14" s="48"/>
      <c r="O14" s="48"/>
      <c r="P14" s="48"/>
      <c r="Q14" s="48"/>
      <c r="R14" s="48"/>
      <c r="S14" s="48"/>
      <c r="T14" s="48"/>
      <c r="U14" s="48"/>
      <c r="V14" s="48"/>
      <c r="W14" s="48"/>
      <c r="X14" s="48"/>
      <c r="Y14" s="44"/>
    </row>
    <row r="15" spans="1:25" ht="15" customHeight="1" x14ac:dyDescent="0.25">
      <c r="A15" s="127"/>
      <c r="B15" s="144" t="s">
        <v>27</v>
      </c>
      <c r="C15" s="128" t="s">
        <v>28</v>
      </c>
      <c r="D15" s="144" t="s">
        <v>29</v>
      </c>
      <c r="E15" s="144" t="s">
        <v>30</v>
      </c>
      <c r="F15" s="281"/>
      <c r="G15" s="145" t="s">
        <v>31</v>
      </c>
      <c r="H15" s="145" t="s">
        <v>31</v>
      </c>
      <c r="I15" s="145" t="s">
        <v>32</v>
      </c>
      <c r="J15" s="145"/>
      <c r="K15" s="145"/>
      <c r="L15" s="145" t="s">
        <v>35</v>
      </c>
      <c r="M15" s="125"/>
      <c r="N15" s="125"/>
      <c r="O15" s="125"/>
      <c r="P15" s="125"/>
      <c r="Q15" s="125"/>
      <c r="R15" s="125"/>
      <c r="S15" s="125"/>
      <c r="T15" s="125"/>
      <c r="U15" s="125"/>
      <c r="V15" s="125"/>
      <c r="W15" s="125"/>
      <c r="X15" s="125"/>
      <c r="Y15" s="125"/>
    </row>
    <row r="16" spans="1:25" ht="15.6" x14ac:dyDescent="0.25">
      <c r="A16" s="94"/>
      <c r="B16" s="282"/>
      <c r="C16" s="210"/>
      <c r="D16" s="210"/>
      <c r="E16" s="210"/>
      <c r="F16" s="283"/>
      <c r="G16" s="284"/>
      <c r="H16" s="210"/>
      <c r="I16" s="285"/>
      <c r="J16" s="285"/>
      <c r="K16" s="101"/>
      <c r="L16" s="48"/>
      <c r="M16" s="48"/>
      <c r="N16" s="48"/>
      <c r="O16" s="48"/>
      <c r="P16" s="48"/>
      <c r="Q16" s="48"/>
      <c r="R16" s="48"/>
      <c r="S16" s="48"/>
      <c r="T16" s="48"/>
      <c r="U16" s="48"/>
      <c r="V16" s="48"/>
      <c r="W16" s="48"/>
      <c r="X16" s="48"/>
      <c r="Y16" s="48"/>
    </row>
    <row r="17" spans="2:12" ht="15" customHeight="1" x14ac:dyDescent="0.25">
      <c r="B17" s="391" t="s">
        <v>392</v>
      </c>
      <c r="C17" s="392"/>
      <c r="D17" s="392"/>
      <c r="E17" s="392"/>
      <c r="F17" s="392"/>
      <c r="G17" s="392"/>
      <c r="H17" s="392"/>
      <c r="I17" s="392"/>
      <c r="J17" s="392"/>
      <c r="L17" s="48"/>
    </row>
    <row r="18" spans="2:12" ht="15" customHeight="1" x14ac:dyDescent="0.25">
      <c r="B18" s="185" t="s">
        <v>787</v>
      </c>
      <c r="C18" s="186" t="s">
        <v>28</v>
      </c>
      <c r="D18" s="185" t="s">
        <v>29</v>
      </c>
      <c r="E18" s="185" t="s">
        <v>30</v>
      </c>
      <c r="F18" s="388" t="s">
        <v>317</v>
      </c>
      <c r="G18" s="388"/>
      <c r="H18" s="187" t="s">
        <v>31</v>
      </c>
      <c r="I18" s="186" t="s">
        <v>32</v>
      </c>
      <c r="J18" s="186" t="s">
        <v>1178</v>
      </c>
      <c r="K18" s="186" t="s">
        <v>33</v>
      </c>
      <c r="L18" s="186" t="s">
        <v>35</v>
      </c>
    </row>
    <row r="19" spans="2:12" ht="15" customHeight="1" x14ac:dyDescent="0.25">
      <c r="B19" s="181" t="s">
        <v>318</v>
      </c>
      <c r="C19" s="182" t="s">
        <v>310</v>
      </c>
      <c r="D19" s="181" t="s">
        <v>100</v>
      </c>
      <c r="E19" s="181" t="s">
        <v>311</v>
      </c>
      <c r="F19" s="389" t="s">
        <v>389</v>
      </c>
      <c r="G19" s="389"/>
      <c r="H19" s="183" t="s">
        <v>312</v>
      </c>
      <c r="I19" s="253">
        <v>1</v>
      </c>
      <c r="J19" s="184"/>
      <c r="K19" s="184"/>
      <c r="L19" s="294">
        <f>L20+L21</f>
        <v>28.06</v>
      </c>
    </row>
    <row r="20" spans="2:12" ht="15" customHeight="1" x14ac:dyDescent="0.25">
      <c r="B20" s="188" t="s">
        <v>319</v>
      </c>
      <c r="C20" s="189">
        <v>97063</v>
      </c>
      <c r="D20" s="188" t="s">
        <v>40</v>
      </c>
      <c r="E20" s="188" t="s">
        <v>1179</v>
      </c>
      <c r="F20" s="390" t="s">
        <v>322</v>
      </c>
      <c r="G20" s="390"/>
      <c r="H20" s="190" t="s">
        <v>41</v>
      </c>
      <c r="I20" s="191">
        <v>0.41599999999999998</v>
      </c>
      <c r="J20" s="191">
        <v>0</v>
      </c>
      <c r="K20" s="192">
        <v>15.16</v>
      </c>
      <c r="L20" s="192">
        <f>I20*K20</f>
        <v>6.31</v>
      </c>
    </row>
    <row r="21" spans="2:12" ht="15" customHeight="1" x14ac:dyDescent="0.25">
      <c r="B21" s="196" t="s">
        <v>335</v>
      </c>
      <c r="C21" s="197" t="s">
        <v>390</v>
      </c>
      <c r="D21" s="196" t="s">
        <v>40</v>
      </c>
      <c r="E21" s="196" t="s">
        <v>391</v>
      </c>
      <c r="F21" s="386" t="s">
        <v>343</v>
      </c>
      <c r="G21" s="386"/>
      <c r="H21" s="198" t="s">
        <v>777</v>
      </c>
      <c r="I21" s="199">
        <v>1</v>
      </c>
      <c r="J21" s="199">
        <v>0</v>
      </c>
      <c r="K21" s="200">
        <v>21.75</v>
      </c>
      <c r="L21" s="200">
        <f>I21*K21</f>
        <v>21.75</v>
      </c>
    </row>
    <row r="22" spans="2:12" ht="15" customHeight="1" x14ac:dyDescent="0.25">
      <c r="B22" s="193"/>
      <c r="C22" s="193"/>
      <c r="D22" s="193"/>
      <c r="E22" s="193"/>
      <c r="F22" s="193"/>
      <c r="G22" s="193" t="s">
        <v>327</v>
      </c>
      <c r="H22" s="194">
        <v>12.09</v>
      </c>
      <c r="I22" s="193" t="s">
        <v>328</v>
      </c>
      <c r="J22" s="194">
        <v>0</v>
      </c>
      <c r="K22" s="193" t="s">
        <v>329</v>
      </c>
      <c r="L22" s="194">
        <f>H22+J22</f>
        <v>12.09</v>
      </c>
    </row>
    <row r="23" spans="2:12" ht="15" customHeight="1" thickBot="1" x14ac:dyDescent="0.3">
      <c r="B23" s="193"/>
      <c r="C23" s="193"/>
      <c r="D23" s="193"/>
      <c r="E23" s="193"/>
      <c r="F23" s="193"/>
      <c r="G23" s="193" t="s">
        <v>330</v>
      </c>
      <c r="H23" s="194"/>
      <c r="I23" s="387"/>
      <c r="J23" s="387" t="s">
        <v>331</v>
      </c>
      <c r="K23" s="193"/>
      <c r="L23" s="194"/>
    </row>
    <row r="24" spans="2:12" ht="15" customHeight="1" thickTop="1" x14ac:dyDescent="0.25">
      <c r="B24" s="195"/>
      <c r="C24" s="195"/>
      <c r="D24" s="195"/>
      <c r="E24" s="195"/>
      <c r="F24" s="195"/>
      <c r="G24" s="195"/>
      <c r="H24" s="195"/>
      <c r="I24" s="195"/>
      <c r="J24" s="195"/>
      <c r="K24" s="195"/>
      <c r="L24" s="195"/>
    </row>
    <row r="25" spans="2:12" ht="15" customHeight="1" x14ac:dyDescent="0.25">
      <c r="B25" s="185" t="s">
        <v>99</v>
      </c>
      <c r="C25" s="186" t="s">
        <v>28</v>
      </c>
      <c r="D25" s="185" t="s">
        <v>29</v>
      </c>
      <c r="E25" s="185" t="s">
        <v>30</v>
      </c>
      <c r="F25" s="388" t="s">
        <v>317</v>
      </c>
      <c r="G25" s="388"/>
      <c r="H25" s="187" t="s">
        <v>31</v>
      </c>
      <c r="I25" s="186" t="s">
        <v>32</v>
      </c>
      <c r="J25" s="186" t="s">
        <v>1178</v>
      </c>
      <c r="K25" s="186" t="s">
        <v>33</v>
      </c>
      <c r="L25" s="186" t="s">
        <v>35</v>
      </c>
    </row>
    <row r="26" spans="2:12" ht="15" customHeight="1" x14ac:dyDescent="0.25">
      <c r="B26" s="181" t="s">
        <v>318</v>
      </c>
      <c r="C26" s="182" t="s">
        <v>998</v>
      </c>
      <c r="D26" s="181" t="s">
        <v>100</v>
      </c>
      <c r="E26" s="181" t="s">
        <v>999</v>
      </c>
      <c r="F26" s="389" t="s">
        <v>332</v>
      </c>
      <c r="G26" s="389"/>
      <c r="H26" s="183" t="s">
        <v>59</v>
      </c>
      <c r="I26" s="253">
        <v>1</v>
      </c>
      <c r="J26" s="184"/>
      <c r="K26" s="184"/>
      <c r="L26" s="294">
        <f>SUM(L27:L32)</f>
        <v>624.83000000000004</v>
      </c>
    </row>
    <row r="27" spans="2:12" ht="15" customHeight="1" x14ac:dyDescent="0.25">
      <c r="B27" s="188" t="s">
        <v>319</v>
      </c>
      <c r="C27" s="189" t="s">
        <v>320</v>
      </c>
      <c r="D27" s="188" t="s">
        <v>40</v>
      </c>
      <c r="E27" s="188" t="s">
        <v>321</v>
      </c>
      <c r="F27" s="390" t="s">
        <v>322</v>
      </c>
      <c r="G27" s="390"/>
      <c r="H27" s="190" t="s">
        <v>323</v>
      </c>
      <c r="I27" s="191">
        <v>1.345</v>
      </c>
      <c r="J27" s="191">
        <v>0</v>
      </c>
      <c r="K27" s="192">
        <v>18.809999999999999</v>
      </c>
      <c r="L27" s="192">
        <f>K27*I27</f>
        <v>25.3</v>
      </c>
    </row>
    <row r="28" spans="2:12" ht="15" customHeight="1" x14ac:dyDescent="0.25">
      <c r="B28" s="188" t="s">
        <v>319</v>
      </c>
      <c r="C28" s="189" t="s">
        <v>353</v>
      </c>
      <c r="D28" s="188" t="s">
        <v>40</v>
      </c>
      <c r="E28" s="188" t="s">
        <v>354</v>
      </c>
      <c r="F28" s="390" t="s">
        <v>322</v>
      </c>
      <c r="G28" s="390"/>
      <c r="H28" s="190" t="s">
        <v>323</v>
      </c>
      <c r="I28" s="191">
        <v>0.224</v>
      </c>
      <c r="J28" s="191">
        <v>0</v>
      </c>
      <c r="K28" s="192">
        <v>23.52</v>
      </c>
      <c r="L28" s="192">
        <f t="shared" ref="L28:L31" si="0">K28*I28</f>
        <v>5.27</v>
      </c>
    </row>
    <row r="29" spans="2:12" ht="15" customHeight="1" x14ac:dyDescent="0.25">
      <c r="B29" s="188" t="s">
        <v>319</v>
      </c>
      <c r="C29" s="189" t="s">
        <v>357</v>
      </c>
      <c r="D29" s="188" t="s">
        <v>40</v>
      </c>
      <c r="E29" s="188" t="s">
        <v>358</v>
      </c>
      <c r="F29" s="390" t="s">
        <v>324</v>
      </c>
      <c r="G29" s="390"/>
      <c r="H29" s="190" t="s">
        <v>325</v>
      </c>
      <c r="I29" s="191">
        <v>0.13</v>
      </c>
      <c r="J29" s="191">
        <v>0</v>
      </c>
      <c r="K29" s="192">
        <v>0.53</v>
      </c>
      <c r="L29" s="192">
        <f t="shared" si="0"/>
        <v>7.0000000000000007E-2</v>
      </c>
    </row>
    <row r="30" spans="2:12" ht="15" customHeight="1" x14ac:dyDescent="0.25">
      <c r="B30" s="188" t="s">
        <v>319</v>
      </c>
      <c r="C30" s="189" t="s">
        <v>333</v>
      </c>
      <c r="D30" s="188" t="s">
        <v>40</v>
      </c>
      <c r="E30" s="188" t="s">
        <v>334</v>
      </c>
      <c r="F30" s="390" t="s">
        <v>322</v>
      </c>
      <c r="G30" s="390"/>
      <c r="H30" s="190" t="s">
        <v>323</v>
      </c>
      <c r="I30" s="191">
        <v>0.224</v>
      </c>
      <c r="J30" s="191">
        <v>0</v>
      </c>
      <c r="K30" s="192">
        <v>23.18</v>
      </c>
      <c r="L30" s="192">
        <f t="shared" si="0"/>
        <v>5.19</v>
      </c>
    </row>
    <row r="31" spans="2:12" ht="15" customHeight="1" x14ac:dyDescent="0.25">
      <c r="B31" s="188" t="s">
        <v>319</v>
      </c>
      <c r="C31" s="189" t="s">
        <v>355</v>
      </c>
      <c r="D31" s="188" t="s">
        <v>40</v>
      </c>
      <c r="E31" s="188" t="s">
        <v>356</v>
      </c>
      <c r="F31" s="390" t="s">
        <v>324</v>
      </c>
      <c r="G31" s="390"/>
      <c r="H31" s="190" t="s">
        <v>326</v>
      </c>
      <c r="I31" s="191">
        <v>9.4E-2</v>
      </c>
      <c r="J31" s="191">
        <v>0</v>
      </c>
      <c r="K31" s="192">
        <v>1.35</v>
      </c>
      <c r="L31" s="192">
        <f t="shared" si="0"/>
        <v>0.13</v>
      </c>
    </row>
    <row r="32" spans="2:12" ht="15" customHeight="1" x14ac:dyDescent="0.25">
      <c r="B32" s="196" t="s">
        <v>335</v>
      </c>
      <c r="C32" s="197" t="s">
        <v>1180</v>
      </c>
      <c r="D32" s="196" t="s">
        <v>40</v>
      </c>
      <c r="E32" s="196" t="s">
        <v>1181</v>
      </c>
      <c r="F32" s="386" t="s">
        <v>336</v>
      </c>
      <c r="G32" s="386"/>
      <c r="H32" s="198" t="s">
        <v>778</v>
      </c>
      <c r="I32" s="199">
        <v>1.103</v>
      </c>
      <c r="J32" s="199">
        <v>0</v>
      </c>
      <c r="K32" s="200">
        <v>533.88</v>
      </c>
      <c r="L32" s="200">
        <f>K32*I32</f>
        <v>588.87</v>
      </c>
    </row>
    <row r="33" spans="2:12" ht="15" customHeight="1" x14ac:dyDescent="0.25">
      <c r="B33" s="193"/>
      <c r="C33" s="193"/>
      <c r="D33" s="193"/>
      <c r="E33" s="193"/>
      <c r="F33" s="193"/>
      <c r="G33" s="193" t="s">
        <v>327</v>
      </c>
      <c r="H33" s="194">
        <f>L27+L28+L30</f>
        <v>35.76</v>
      </c>
      <c r="I33" s="193" t="s">
        <v>328</v>
      </c>
      <c r="J33" s="194">
        <v>0</v>
      </c>
      <c r="K33" s="193" t="s">
        <v>329</v>
      </c>
      <c r="L33" s="194"/>
    </row>
    <row r="34" spans="2:12" ht="15" customHeight="1" thickBot="1" x14ac:dyDescent="0.3">
      <c r="B34" s="193"/>
      <c r="C34" s="193"/>
      <c r="D34" s="193"/>
      <c r="E34" s="193"/>
      <c r="F34" s="193"/>
      <c r="G34" s="193" t="s">
        <v>330</v>
      </c>
      <c r="H34" s="194"/>
      <c r="I34" s="387"/>
      <c r="J34" s="387" t="s">
        <v>331</v>
      </c>
      <c r="K34" s="193"/>
      <c r="L34" s="194"/>
    </row>
    <row r="35" spans="2:12" ht="15" customHeight="1" thickTop="1" x14ac:dyDescent="0.25">
      <c r="B35" s="195"/>
      <c r="C35" s="195"/>
      <c r="D35" s="195"/>
      <c r="E35" s="195"/>
      <c r="F35" s="195"/>
      <c r="G35" s="195"/>
      <c r="H35" s="195"/>
      <c r="I35" s="195"/>
      <c r="J35" s="195"/>
      <c r="K35" s="195"/>
      <c r="L35" s="195"/>
    </row>
    <row r="36" spans="2:12" ht="15" customHeight="1" x14ac:dyDescent="0.25">
      <c r="B36" s="185" t="s">
        <v>116</v>
      </c>
      <c r="C36" s="186" t="s">
        <v>28</v>
      </c>
      <c r="D36" s="185" t="s">
        <v>29</v>
      </c>
      <c r="E36" s="185" t="s">
        <v>30</v>
      </c>
      <c r="F36" s="388" t="s">
        <v>317</v>
      </c>
      <c r="G36" s="388"/>
      <c r="H36" s="187" t="s">
        <v>31</v>
      </c>
      <c r="I36" s="186" t="s">
        <v>32</v>
      </c>
      <c r="J36" s="186" t="s">
        <v>1178</v>
      </c>
      <c r="K36" s="186" t="s">
        <v>33</v>
      </c>
      <c r="L36" s="186" t="s">
        <v>35</v>
      </c>
    </row>
    <row r="37" spans="2:12" ht="15" customHeight="1" x14ac:dyDescent="0.25">
      <c r="B37" s="181" t="s">
        <v>318</v>
      </c>
      <c r="C37" s="182" t="s">
        <v>1002</v>
      </c>
      <c r="D37" s="181" t="s">
        <v>100</v>
      </c>
      <c r="E37" s="181" t="s">
        <v>1003</v>
      </c>
      <c r="F37" s="389" t="s">
        <v>332</v>
      </c>
      <c r="G37" s="389"/>
      <c r="H37" s="183" t="s">
        <v>59</v>
      </c>
      <c r="I37" s="253">
        <v>1</v>
      </c>
      <c r="J37" s="184"/>
      <c r="K37" s="184"/>
      <c r="L37" s="294">
        <f>SUM(L38:L43)</f>
        <v>625.25</v>
      </c>
    </row>
    <row r="38" spans="2:12" ht="15" customHeight="1" x14ac:dyDescent="0.25">
      <c r="B38" s="188" t="s">
        <v>319</v>
      </c>
      <c r="C38" s="189" t="s">
        <v>357</v>
      </c>
      <c r="D38" s="188" t="s">
        <v>40</v>
      </c>
      <c r="E38" s="188" t="s">
        <v>358</v>
      </c>
      <c r="F38" s="390" t="s">
        <v>324</v>
      </c>
      <c r="G38" s="390"/>
      <c r="H38" s="190" t="s">
        <v>325</v>
      </c>
      <c r="I38" s="191">
        <v>0.13100000000000001</v>
      </c>
      <c r="J38" s="191">
        <v>0</v>
      </c>
      <c r="K38" s="192">
        <f>K29</f>
        <v>0.53</v>
      </c>
      <c r="L38" s="192">
        <f t="shared" ref="L38:L42" si="1">K38*I38</f>
        <v>7.0000000000000007E-2</v>
      </c>
    </row>
    <row r="39" spans="2:12" ht="15" customHeight="1" x14ac:dyDescent="0.25">
      <c r="B39" s="188" t="s">
        <v>319</v>
      </c>
      <c r="C39" s="189" t="s">
        <v>320</v>
      </c>
      <c r="D39" s="188" t="s">
        <v>40</v>
      </c>
      <c r="E39" s="188" t="s">
        <v>321</v>
      </c>
      <c r="F39" s="390" t="s">
        <v>322</v>
      </c>
      <c r="G39" s="390"/>
      <c r="H39" s="190" t="s">
        <v>323</v>
      </c>
      <c r="I39" s="191">
        <v>0.82599999999999996</v>
      </c>
      <c r="J39" s="191">
        <v>0</v>
      </c>
      <c r="K39" s="192">
        <f>K27</f>
        <v>18.809999999999999</v>
      </c>
      <c r="L39" s="192">
        <f t="shared" si="1"/>
        <v>15.54</v>
      </c>
    </row>
    <row r="40" spans="2:12" ht="15" customHeight="1" x14ac:dyDescent="0.25">
      <c r="B40" s="188" t="s">
        <v>319</v>
      </c>
      <c r="C40" s="189" t="s">
        <v>353</v>
      </c>
      <c r="D40" s="188" t="s">
        <v>40</v>
      </c>
      <c r="E40" s="188" t="s">
        <v>354</v>
      </c>
      <c r="F40" s="390" t="s">
        <v>322</v>
      </c>
      <c r="G40" s="390"/>
      <c r="H40" s="190" t="s">
        <v>323</v>
      </c>
      <c r="I40" s="191">
        <v>0.753</v>
      </c>
      <c r="J40" s="191">
        <v>0</v>
      </c>
      <c r="K40" s="192">
        <f>K28</f>
        <v>23.52</v>
      </c>
      <c r="L40" s="192">
        <f t="shared" si="1"/>
        <v>17.71</v>
      </c>
    </row>
    <row r="41" spans="2:12" ht="15" customHeight="1" x14ac:dyDescent="0.25">
      <c r="B41" s="188" t="s">
        <v>319</v>
      </c>
      <c r="C41" s="189" t="s">
        <v>355</v>
      </c>
      <c r="D41" s="188" t="s">
        <v>40</v>
      </c>
      <c r="E41" s="188" t="s">
        <v>356</v>
      </c>
      <c r="F41" s="390" t="s">
        <v>324</v>
      </c>
      <c r="G41" s="390"/>
      <c r="H41" s="190" t="s">
        <v>326</v>
      </c>
      <c r="I41" s="191">
        <v>0.12</v>
      </c>
      <c r="J41" s="191">
        <v>0</v>
      </c>
      <c r="K41" s="192">
        <f>K31</f>
        <v>1.35</v>
      </c>
      <c r="L41" s="192">
        <f t="shared" si="1"/>
        <v>0.16</v>
      </c>
    </row>
    <row r="42" spans="2:12" ht="15" customHeight="1" x14ac:dyDescent="0.25">
      <c r="B42" s="188" t="s">
        <v>319</v>
      </c>
      <c r="C42" s="189" t="s">
        <v>333</v>
      </c>
      <c r="D42" s="188" t="s">
        <v>40</v>
      </c>
      <c r="E42" s="188" t="s">
        <v>334</v>
      </c>
      <c r="F42" s="390" t="s">
        <v>322</v>
      </c>
      <c r="G42" s="390"/>
      <c r="H42" s="190" t="s">
        <v>323</v>
      </c>
      <c r="I42" s="191">
        <v>0.125</v>
      </c>
      <c r="J42" s="191">
        <v>0</v>
      </c>
      <c r="K42" s="192">
        <f>K30</f>
        <v>23.18</v>
      </c>
      <c r="L42" s="192">
        <f t="shared" si="1"/>
        <v>2.9</v>
      </c>
    </row>
    <row r="43" spans="2:12" ht="15" customHeight="1" x14ac:dyDescent="0.25">
      <c r="B43" s="196" t="s">
        <v>335</v>
      </c>
      <c r="C43" s="197" t="s">
        <v>1180</v>
      </c>
      <c r="D43" s="196" t="s">
        <v>40</v>
      </c>
      <c r="E43" s="196" t="s">
        <v>1181</v>
      </c>
      <c r="F43" s="386" t="s">
        <v>336</v>
      </c>
      <c r="G43" s="386"/>
      <c r="H43" s="198" t="s">
        <v>778</v>
      </c>
      <c r="I43" s="199">
        <v>1.103</v>
      </c>
      <c r="J43" s="199">
        <v>0</v>
      </c>
      <c r="K43" s="200">
        <f>K32</f>
        <v>533.88</v>
      </c>
      <c r="L43" s="200">
        <f>K43*I43</f>
        <v>588.87</v>
      </c>
    </row>
    <row r="44" spans="2:12" ht="15" customHeight="1" x14ac:dyDescent="0.25">
      <c r="B44" s="193"/>
      <c r="C44" s="193"/>
      <c r="D44" s="193"/>
      <c r="E44" s="193"/>
      <c r="F44" s="193"/>
      <c r="G44" s="193" t="s">
        <v>327</v>
      </c>
      <c r="H44" s="194">
        <f>L39+L40+L42</f>
        <v>36.15</v>
      </c>
      <c r="I44" s="193" t="s">
        <v>328</v>
      </c>
      <c r="J44" s="194">
        <v>0</v>
      </c>
      <c r="K44" s="193" t="s">
        <v>329</v>
      </c>
      <c r="L44" s="194"/>
    </row>
    <row r="45" spans="2:12" ht="15" customHeight="1" thickBot="1" x14ac:dyDescent="0.3">
      <c r="B45" s="193"/>
      <c r="C45" s="193"/>
      <c r="D45" s="193"/>
      <c r="E45" s="193"/>
      <c r="F45" s="193"/>
      <c r="G45" s="193" t="s">
        <v>330</v>
      </c>
      <c r="H45" s="194"/>
      <c r="I45" s="387"/>
      <c r="J45" s="387" t="s">
        <v>331</v>
      </c>
      <c r="K45" s="193"/>
      <c r="L45" s="194"/>
    </row>
    <row r="46" spans="2:12" ht="15" customHeight="1" thickTop="1" x14ac:dyDescent="0.25">
      <c r="B46" s="195"/>
      <c r="C46" s="195"/>
      <c r="D46" s="195"/>
      <c r="E46" s="195"/>
      <c r="F46" s="195"/>
      <c r="G46" s="195"/>
      <c r="H46" s="195"/>
      <c r="I46" s="195"/>
      <c r="J46" s="195"/>
      <c r="K46" s="195"/>
      <c r="L46" s="195"/>
    </row>
    <row r="47" spans="2:12" ht="15" customHeight="1" x14ac:dyDescent="0.25">
      <c r="B47" s="185" t="s">
        <v>516</v>
      </c>
      <c r="C47" s="186" t="s">
        <v>28</v>
      </c>
      <c r="D47" s="185" t="s">
        <v>29</v>
      </c>
      <c r="E47" s="185" t="s">
        <v>30</v>
      </c>
      <c r="F47" s="388" t="s">
        <v>317</v>
      </c>
      <c r="G47" s="388"/>
      <c r="H47" s="187" t="s">
        <v>31</v>
      </c>
      <c r="I47" s="186" t="s">
        <v>32</v>
      </c>
      <c r="J47" s="186" t="s">
        <v>1178</v>
      </c>
      <c r="K47" s="186" t="s">
        <v>33</v>
      </c>
      <c r="L47" s="186" t="s">
        <v>35</v>
      </c>
    </row>
    <row r="48" spans="2:12" ht="15" customHeight="1" x14ac:dyDescent="0.25">
      <c r="B48" s="181" t="s">
        <v>318</v>
      </c>
      <c r="C48" s="182" t="s">
        <v>518</v>
      </c>
      <c r="D48" s="181" t="s">
        <v>100</v>
      </c>
      <c r="E48" s="181" t="s">
        <v>781</v>
      </c>
      <c r="F48" s="389">
        <v>13.01</v>
      </c>
      <c r="G48" s="389"/>
      <c r="H48" s="183" t="s">
        <v>41</v>
      </c>
      <c r="I48" s="253">
        <v>1</v>
      </c>
      <c r="J48" s="184"/>
      <c r="K48" s="184"/>
      <c r="L48" s="294">
        <f>SUM(L49:L51)</f>
        <v>321.08</v>
      </c>
    </row>
    <row r="49" spans="2:12" ht="15" customHeight="1" x14ac:dyDescent="0.25">
      <c r="B49" s="196" t="s">
        <v>335</v>
      </c>
      <c r="C49" s="197" t="s">
        <v>320</v>
      </c>
      <c r="D49" s="196" t="s">
        <v>40</v>
      </c>
      <c r="E49" s="196" t="s">
        <v>321</v>
      </c>
      <c r="F49" s="386" t="s">
        <v>382</v>
      </c>
      <c r="G49" s="386"/>
      <c r="H49" s="198" t="s">
        <v>381</v>
      </c>
      <c r="I49" s="199">
        <v>0.8</v>
      </c>
      <c r="J49" s="199">
        <v>0</v>
      </c>
      <c r="K49" s="200">
        <v>18.809999999999999</v>
      </c>
      <c r="L49" s="200">
        <f t="shared" ref="L49:L50" si="2">K49*I49</f>
        <v>15.05</v>
      </c>
    </row>
    <row r="50" spans="2:12" ht="15" customHeight="1" x14ac:dyDescent="0.25">
      <c r="B50" s="196" t="s">
        <v>335</v>
      </c>
      <c r="C50" s="197" t="s">
        <v>353</v>
      </c>
      <c r="D50" s="196" t="s">
        <v>40</v>
      </c>
      <c r="E50" s="196" t="s">
        <v>354</v>
      </c>
      <c r="F50" s="386" t="s">
        <v>382</v>
      </c>
      <c r="G50" s="386"/>
      <c r="H50" s="198" t="s">
        <v>381</v>
      </c>
      <c r="I50" s="199">
        <v>0.4</v>
      </c>
      <c r="J50" s="199">
        <v>0</v>
      </c>
      <c r="K50" s="200">
        <v>23.52</v>
      </c>
      <c r="L50" s="200">
        <f t="shared" si="2"/>
        <v>9.41</v>
      </c>
    </row>
    <row r="51" spans="2:12" ht="15" customHeight="1" x14ac:dyDescent="0.25">
      <c r="B51" s="196" t="s">
        <v>335</v>
      </c>
      <c r="C51" s="197" t="s">
        <v>1647</v>
      </c>
      <c r="D51" s="196" t="s">
        <v>199</v>
      </c>
      <c r="E51" s="196" t="s">
        <v>1648</v>
      </c>
      <c r="F51" s="386" t="s">
        <v>336</v>
      </c>
      <c r="G51" s="386"/>
      <c r="H51" s="198" t="s">
        <v>41</v>
      </c>
      <c r="I51" s="199">
        <v>1</v>
      </c>
      <c r="J51" s="199">
        <v>0</v>
      </c>
      <c r="K51" s="200">
        <v>296.62</v>
      </c>
      <c r="L51" s="200">
        <f>K51*I51</f>
        <v>296.62</v>
      </c>
    </row>
    <row r="52" spans="2:12" ht="15" customHeight="1" x14ac:dyDescent="0.25">
      <c r="B52" s="193"/>
      <c r="C52" s="193"/>
      <c r="D52" s="193"/>
      <c r="E52" s="193"/>
      <c r="F52" s="193"/>
      <c r="G52" s="193" t="s">
        <v>327</v>
      </c>
      <c r="H52" s="194">
        <f>L49+L50</f>
        <v>24.46</v>
      </c>
      <c r="I52" s="193" t="s">
        <v>328</v>
      </c>
      <c r="J52" s="194">
        <v>0</v>
      </c>
      <c r="K52" s="193" t="s">
        <v>329</v>
      </c>
      <c r="L52" s="194"/>
    </row>
    <row r="53" spans="2:12" ht="15" customHeight="1" thickBot="1" x14ac:dyDescent="0.3">
      <c r="B53" s="193"/>
      <c r="C53" s="193"/>
      <c r="D53" s="193"/>
      <c r="E53" s="193"/>
      <c r="F53" s="193"/>
      <c r="G53" s="193" t="s">
        <v>330</v>
      </c>
      <c r="H53" s="194"/>
      <c r="I53" s="387"/>
      <c r="J53" s="387" t="s">
        <v>331</v>
      </c>
      <c r="K53" s="193"/>
      <c r="L53" s="194"/>
    </row>
    <row r="54" spans="2:12" ht="15" customHeight="1" thickTop="1" x14ac:dyDescent="0.25">
      <c r="B54" s="195"/>
      <c r="C54" s="195"/>
      <c r="D54" s="195"/>
      <c r="E54" s="195"/>
      <c r="F54" s="195"/>
      <c r="G54" s="195"/>
      <c r="H54" s="195"/>
      <c r="I54" s="195"/>
      <c r="J54" s="195"/>
      <c r="K54" s="195"/>
      <c r="L54" s="195"/>
    </row>
    <row r="55" spans="2:12" ht="15" customHeight="1" x14ac:dyDescent="0.25">
      <c r="B55" s="185" t="s">
        <v>530</v>
      </c>
      <c r="C55" s="186" t="s">
        <v>28</v>
      </c>
      <c r="D55" s="185" t="s">
        <v>29</v>
      </c>
      <c r="E55" s="185" t="s">
        <v>30</v>
      </c>
      <c r="F55" s="388" t="s">
        <v>317</v>
      </c>
      <c r="G55" s="388"/>
      <c r="H55" s="187" t="s">
        <v>31</v>
      </c>
      <c r="I55" s="186" t="s">
        <v>32</v>
      </c>
      <c r="J55" s="186" t="s">
        <v>1178</v>
      </c>
      <c r="K55" s="186" t="s">
        <v>33</v>
      </c>
      <c r="L55" s="186" t="s">
        <v>35</v>
      </c>
    </row>
    <row r="56" spans="2:12" ht="15" customHeight="1" x14ac:dyDescent="0.25">
      <c r="B56" s="181" t="s">
        <v>318</v>
      </c>
      <c r="C56" s="182" t="s">
        <v>958</v>
      </c>
      <c r="D56" s="181" t="s">
        <v>100</v>
      </c>
      <c r="E56" s="181" t="s">
        <v>959</v>
      </c>
      <c r="F56" s="389" t="s">
        <v>339</v>
      </c>
      <c r="G56" s="389"/>
      <c r="H56" s="183" t="s">
        <v>41</v>
      </c>
      <c r="I56" s="253">
        <v>1</v>
      </c>
      <c r="J56" s="184"/>
      <c r="K56" s="184"/>
      <c r="L56" s="294">
        <f>SUM(L57:L67)</f>
        <v>106</v>
      </c>
    </row>
    <row r="57" spans="2:12" ht="15" customHeight="1" x14ac:dyDescent="0.25">
      <c r="B57" s="188" t="s">
        <v>319</v>
      </c>
      <c r="C57" s="189" t="s">
        <v>361</v>
      </c>
      <c r="D57" s="188" t="s">
        <v>40</v>
      </c>
      <c r="E57" s="188" t="s">
        <v>362</v>
      </c>
      <c r="F57" s="390" t="s">
        <v>322</v>
      </c>
      <c r="G57" s="390"/>
      <c r="H57" s="190" t="s">
        <v>323</v>
      </c>
      <c r="I57" s="191">
        <v>0.59499999999999997</v>
      </c>
      <c r="J57" s="191">
        <v>0</v>
      </c>
      <c r="K57" s="192">
        <v>20.29</v>
      </c>
      <c r="L57" s="192">
        <f t="shared" ref="L57:L58" si="3">K57*I57</f>
        <v>12.07</v>
      </c>
    </row>
    <row r="58" spans="2:12" ht="15" customHeight="1" x14ac:dyDescent="0.25">
      <c r="B58" s="188" t="s">
        <v>319</v>
      </c>
      <c r="C58" s="189" t="s">
        <v>320</v>
      </c>
      <c r="D58" s="188" t="s">
        <v>40</v>
      </c>
      <c r="E58" s="188" t="s">
        <v>321</v>
      </c>
      <c r="F58" s="390" t="s">
        <v>322</v>
      </c>
      <c r="G58" s="390"/>
      <c r="H58" s="190" t="s">
        <v>323</v>
      </c>
      <c r="I58" s="191">
        <v>0.19500000000000001</v>
      </c>
      <c r="J58" s="191">
        <v>0</v>
      </c>
      <c r="K58" s="192">
        <f>K49</f>
        <v>18.809999999999999</v>
      </c>
      <c r="L58" s="192">
        <f t="shared" si="3"/>
        <v>3.67</v>
      </c>
    </row>
    <row r="59" spans="2:12" ht="15" customHeight="1" x14ac:dyDescent="0.25">
      <c r="B59" s="196" t="s">
        <v>335</v>
      </c>
      <c r="C59" s="197" t="s">
        <v>379</v>
      </c>
      <c r="D59" s="196" t="s">
        <v>40</v>
      </c>
      <c r="E59" s="196" t="s">
        <v>380</v>
      </c>
      <c r="F59" s="386" t="s">
        <v>336</v>
      </c>
      <c r="G59" s="386"/>
      <c r="H59" s="198" t="s">
        <v>44</v>
      </c>
      <c r="I59" s="199">
        <v>0.54410000000000003</v>
      </c>
      <c r="J59" s="199">
        <v>0</v>
      </c>
      <c r="K59" s="200">
        <v>0.33</v>
      </c>
      <c r="L59" s="200">
        <f>K59*I59</f>
        <v>0.18</v>
      </c>
    </row>
    <row r="60" spans="2:12" ht="15" customHeight="1" x14ac:dyDescent="0.25">
      <c r="B60" s="196" t="s">
        <v>335</v>
      </c>
      <c r="C60" s="197" t="s">
        <v>960</v>
      </c>
      <c r="D60" s="196" t="s">
        <v>40</v>
      </c>
      <c r="E60" s="196" t="s">
        <v>961</v>
      </c>
      <c r="F60" s="386" t="s">
        <v>336</v>
      </c>
      <c r="G60" s="386"/>
      <c r="H60" s="198" t="s">
        <v>41</v>
      </c>
      <c r="I60" s="199">
        <v>2.1059999999999999</v>
      </c>
      <c r="J60" s="199">
        <v>0</v>
      </c>
      <c r="K60" s="200">
        <v>24.32</v>
      </c>
      <c r="L60" s="200">
        <f t="shared" ref="L60:L67" si="4">K60*I60</f>
        <v>51.22</v>
      </c>
    </row>
    <row r="61" spans="2:12" ht="15" customHeight="1" x14ac:dyDescent="0.25">
      <c r="B61" s="196" t="s">
        <v>335</v>
      </c>
      <c r="C61" s="197" t="s">
        <v>371</v>
      </c>
      <c r="D61" s="196" t="s">
        <v>40</v>
      </c>
      <c r="E61" s="196" t="s">
        <v>372</v>
      </c>
      <c r="F61" s="386" t="s">
        <v>336</v>
      </c>
      <c r="G61" s="386"/>
      <c r="H61" s="198" t="s">
        <v>55</v>
      </c>
      <c r="I61" s="199">
        <v>2.5026999999999999</v>
      </c>
      <c r="J61" s="199">
        <v>0</v>
      </c>
      <c r="K61" s="200">
        <v>0.28000000000000003</v>
      </c>
      <c r="L61" s="200">
        <f t="shared" si="4"/>
        <v>0.7</v>
      </c>
    </row>
    <row r="62" spans="2:12" ht="15" customHeight="1" x14ac:dyDescent="0.25">
      <c r="B62" s="196" t="s">
        <v>335</v>
      </c>
      <c r="C62" s="197" t="s">
        <v>369</v>
      </c>
      <c r="D62" s="196" t="s">
        <v>40</v>
      </c>
      <c r="E62" s="196" t="s">
        <v>370</v>
      </c>
      <c r="F62" s="386" t="s">
        <v>336</v>
      </c>
      <c r="G62" s="386"/>
      <c r="H62" s="198" t="s">
        <v>55</v>
      </c>
      <c r="I62" s="199">
        <v>2.9138999999999999</v>
      </c>
      <c r="J62" s="199">
        <v>0</v>
      </c>
      <c r="K62" s="200">
        <v>7.61</v>
      </c>
      <c r="L62" s="200">
        <f t="shared" si="4"/>
        <v>22.17</v>
      </c>
    </row>
    <row r="63" spans="2:12" ht="15" customHeight="1" x14ac:dyDescent="0.25">
      <c r="B63" s="196" t="s">
        <v>335</v>
      </c>
      <c r="C63" s="197" t="s">
        <v>363</v>
      </c>
      <c r="D63" s="196" t="s">
        <v>40</v>
      </c>
      <c r="E63" s="196" t="s">
        <v>364</v>
      </c>
      <c r="F63" s="386" t="s">
        <v>336</v>
      </c>
      <c r="G63" s="386"/>
      <c r="H63" s="198" t="s">
        <v>360</v>
      </c>
      <c r="I63" s="199">
        <v>2.9600000000000001E-2</v>
      </c>
      <c r="J63" s="199">
        <v>0</v>
      </c>
      <c r="K63" s="200">
        <v>51.5</v>
      </c>
      <c r="L63" s="200">
        <f t="shared" si="4"/>
        <v>1.52</v>
      </c>
    </row>
    <row r="64" spans="2:12" ht="15" customHeight="1" x14ac:dyDescent="0.25">
      <c r="B64" s="196" t="s">
        <v>335</v>
      </c>
      <c r="C64" s="197" t="s">
        <v>377</v>
      </c>
      <c r="D64" s="196" t="s">
        <v>40</v>
      </c>
      <c r="E64" s="196" t="s">
        <v>378</v>
      </c>
      <c r="F64" s="386" t="s">
        <v>336</v>
      </c>
      <c r="G64" s="386"/>
      <c r="H64" s="198" t="s">
        <v>44</v>
      </c>
      <c r="I64" s="199">
        <v>20.186800000000002</v>
      </c>
      <c r="J64" s="199">
        <v>0</v>
      </c>
      <c r="K64" s="200">
        <v>0.14000000000000001</v>
      </c>
      <c r="L64" s="200">
        <f t="shared" si="4"/>
        <v>2.83</v>
      </c>
    </row>
    <row r="65" spans="2:12" ht="15" customHeight="1" x14ac:dyDescent="0.25">
      <c r="B65" s="196" t="s">
        <v>335</v>
      </c>
      <c r="C65" s="197" t="s">
        <v>373</v>
      </c>
      <c r="D65" s="196" t="s">
        <v>40</v>
      </c>
      <c r="E65" s="196" t="s">
        <v>374</v>
      </c>
      <c r="F65" s="386" t="s">
        <v>336</v>
      </c>
      <c r="G65" s="386"/>
      <c r="H65" s="198" t="s">
        <v>55</v>
      </c>
      <c r="I65" s="199">
        <v>0.79249999999999998</v>
      </c>
      <c r="J65" s="199">
        <v>0</v>
      </c>
      <c r="K65" s="200">
        <v>2.5499999999999998</v>
      </c>
      <c r="L65" s="200">
        <f t="shared" si="4"/>
        <v>2.02</v>
      </c>
    </row>
    <row r="66" spans="2:12" ht="15" customHeight="1" x14ac:dyDescent="0.25">
      <c r="B66" s="196" t="s">
        <v>335</v>
      </c>
      <c r="C66" s="197" t="s">
        <v>375</v>
      </c>
      <c r="D66" s="196" t="s">
        <v>40</v>
      </c>
      <c r="E66" s="196" t="s">
        <v>376</v>
      </c>
      <c r="F66" s="386" t="s">
        <v>343</v>
      </c>
      <c r="G66" s="386"/>
      <c r="H66" s="198" t="s">
        <v>65</v>
      </c>
      <c r="I66" s="199">
        <v>1.0978000000000001</v>
      </c>
      <c r="J66" s="199">
        <v>0</v>
      </c>
      <c r="K66" s="200">
        <v>3.19</v>
      </c>
      <c r="L66" s="200">
        <f t="shared" si="4"/>
        <v>3.5</v>
      </c>
    </row>
    <row r="67" spans="2:12" ht="15" customHeight="1" x14ac:dyDescent="0.25">
      <c r="B67" s="196" t="s">
        <v>335</v>
      </c>
      <c r="C67" s="197" t="s">
        <v>367</v>
      </c>
      <c r="D67" s="196" t="s">
        <v>40</v>
      </c>
      <c r="E67" s="196" t="s">
        <v>368</v>
      </c>
      <c r="F67" s="386" t="s">
        <v>336</v>
      </c>
      <c r="G67" s="386"/>
      <c r="H67" s="198" t="s">
        <v>55</v>
      </c>
      <c r="I67" s="199">
        <v>0.91169999999999995</v>
      </c>
      <c r="J67" s="199">
        <v>0</v>
      </c>
      <c r="K67" s="200">
        <v>6.71</v>
      </c>
      <c r="L67" s="200">
        <f t="shared" si="4"/>
        <v>6.12</v>
      </c>
    </row>
    <row r="68" spans="2:12" ht="15" customHeight="1" x14ac:dyDescent="0.25">
      <c r="B68" s="193"/>
      <c r="C68" s="193"/>
      <c r="D68" s="193"/>
      <c r="E68" s="193"/>
      <c r="F68" s="193"/>
      <c r="G68" s="193" t="s">
        <v>327</v>
      </c>
      <c r="H68" s="194">
        <f>L57+L58</f>
        <v>15.74</v>
      </c>
      <c r="I68" s="193" t="s">
        <v>328</v>
      </c>
      <c r="J68" s="194">
        <v>0</v>
      </c>
      <c r="K68" s="193" t="s">
        <v>329</v>
      </c>
      <c r="L68" s="194"/>
    </row>
    <row r="69" spans="2:12" ht="15" customHeight="1" thickBot="1" x14ac:dyDescent="0.3">
      <c r="B69" s="193"/>
      <c r="C69" s="193"/>
      <c r="D69" s="193"/>
      <c r="E69" s="193"/>
      <c r="F69" s="193"/>
      <c r="G69" s="193" t="s">
        <v>330</v>
      </c>
      <c r="H69" s="194"/>
      <c r="I69" s="387"/>
      <c r="J69" s="387" t="s">
        <v>331</v>
      </c>
      <c r="K69" s="193"/>
      <c r="L69" s="194"/>
    </row>
    <row r="70" spans="2:12" ht="15" customHeight="1" thickTop="1" x14ac:dyDescent="0.25">
      <c r="B70" s="195"/>
      <c r="C70" s="195"/>
      <c r="D70" s="195"/>
      <c r="E70" s="195"/>
      <c r="F70" s="195"/>
      <c r="G70" s="195"/>
      <c r="H70" s="195"/>
      <c r="I70" s="195"/>
      <c r="J70" s="195"/>
      <c r="K70" s="195"/>
      <c r="L70" s="195"/>
    </row>
    <row r="71" spans="2:12" ht="15" customHeight="1" x14ac:dyDescent="0.25">
      <c r="B71" s="185" t="s">
        <v>531</v>
      </c>
      <c r="C71" s="186" t="s">
        <v>28</v>
      </c>
      <c r="D71" s="185" t="s">
        <v>29</v>
      </c>
      <c r="E71" s="185" t="s">
        <v>30</v>
      </c>
      <c r="F71" s="388" t="s">
        <v>317</v>
      </c>
      <c r="G71" s="388"/>
      <c r="H71" s="187" t="s">
        <v>31</v>
      </c>
      <c r="I71" s="186" t="s">
        <v>32</v>
      </c>
      <c r="J71" s="186" t="s">
        <v>1178</v>
      </c>
      <c r="K71" s="186" t="s">
        <v>33</v>
      </c>
      <c r="L71" s="186" t="s">
        <v>35</v>
      </c>
    </row>
    <row r="72" spans="2:12" ht="15" customHeight="1" x14ac:dyDescent="0.25">
      <c r="B72" s="181" t="s">
        <v>318</v>
      </c>
      <c r="C72" s="182" t="s">
        <v>1008</v>
      </c>
      <c r="D72" s="181" t="s">
        <v>100</v>
      </c>
      <c r="E72" s="181" t="s">
        <v>1009</v>
      </c>
      <c r="F72" s="389" t="s">
        <v>339</v>
      </c>
      <c r="G72" s="389"/>
      <c r="H72" s="183" t="s">
        <v>41</v>
      </c>
      <c r="I72" s="253">
        <v>1</v>
      </c>
      <c r="J72" s="184"/>
      <c r="K72" s="184"/>
      <c r="L72" s="294">
        <f>SUM(L73:L84)</f>
        <v>175.68</v>
      </c>
    </row>
    <row r="73" spans="2:12" ht="15" customHeight="1" x14ac:dyDescent="0.25">
      <c r="B73" s="188" t="s">
        <v>319</v>
      </c>
      <c r="C73" s="189" t="s">
        <v>361</v>
      </c>
      <c r="D73" s="188" t="s">
        <v>40</v>
      </c>
      <c r="E73" s="188" t="s">
        <v>362</v>
      </c>
      <c r="F73" s="390" t="s">
        <v>322</v>
      </c>
      <c r="G73" s="390"/>
      <c r="H73" s="190" t="s">
        <v>323</v>
      </c>
      <c r="I73" s="191">
        <v>0.59499999999999997</v>
      </c>
      <c r="J73" s="191">
        <v>0</v>
      </c>
      <c r="K73" s="192">
        <f>K57</f>
        <v>20.29</v>
      </c>
      <c r="L73" s="192">
        <f t="shared" ref="L73:L75" si="5">K73*I73</f>
        <v>12.07</v>
      </c>
    </row>
    <row r="74" spans="2:12" ht="15" customHeight="1" x14ac:dyDescent="0.25">
      <c r="B74" s="188" t="s">
        <v>319</v>
      </c>
      <c r="C74" s="189" t="s">
        <v>886</v>
      </c>
      <c r="D74" s="188" t="s">
        <v>146</v>
      </c>
      <c r="E74" s="188" t="s">
        <v>887</v>
      </c>
      <c r="F74" s="390" t="s">
        <v>889</v>
      </c>
      <c r="G74" s="390"/>
      <c r="H74" s="190" t="s">
        <v>41</v>
      </c>
      <c r="I74" s="191">
        <v>1.02</v>
      </c>
      <c r="J74" s="191">
        <v>0</v>
      </c>
      <c r="K74" s="192">
        <v>64.56</v>
      </c>
      <c r="L74" s="192">
        <f t="shared" si="5"/>
        <v>65.849999999999994</v>
      </c>
    </row>
    <row r="75" spans="2:12" ht="15" customHeight="1" x14ac:dyDescent="0.25">
      <c r="B75" s="188" t="s">
        <v>319</v>
      </c>
      <c r="C75" s="189" t="s">
        <v>320</v>
      </c>
      <c r="D75" s="188" t="s">
        <v>40</v>
      </c>
      <c r="E75" s="188" t="s">
        <v>321</v>
      </c>
      <c r="F75" s="390" t="s">
        <v>322</v>
      </c>
      <c r="G75" s="390"/>
      <c r="H75" s="190" t="s">
        <v>323</v>
      </c>
      <c r="I75" s="191">
        <v>0.19500000000000001</v>
      </c>
      <c r="J75" s="191">
        <v>0</v>
      </c>
      <c r="K75" s="192">
        <f>K58</f>
        <v>18.809999999999999</v>
      </c>
      <c r="L75" s="192">
        <f t="shared" si="5"/>
        <v>3.67</v>
      </c>
    </row>
    <row r="76" spans="2:12" ht="15" customHeight="1" x14ac:dyDescent="0.25">
      <c r="B76" s="196" t="s">
        <v>335</v>
      </c>
      <c r="C76" s="197" t="s">
        <v>371</v>
      </c>
      <c r="D76" s="196" t="s">
        <v>40</v>
      </c>
      <c r="E76" s="196" t="s">
        <v>372</v>
      </c>
      <c r="F76" s="386" t="s">
        <v>336</v>
      </c>
      <c r="G76" s="386"/>
      <c r="H76" s="198" t="s">
        <v>55</v>
      </c>
      <c r="I76" s="199">
        <v>2.5026999999999999</v>
      </c>
      <c r="J76" s="199">
        <v>0</v>
      </c>
      <c r="K76" s="200">
        <f>K61</f>
        <v>0.28000000000000003</v>
      </c>
      <c r="L76" s="200">
        <f t="shared" ref="L76:L84" si="6">K76*I76</f>
        <v>0.7</v>
      </c>
    </row>
    <row r="77" spans="2:12" ht="15" customHeight="1" x14ac:dyDescent="0.25">
      <c r="B77" s="196" t="s">
        <v>335</v>
      </c>
      <c r="C77" s="197" t="s">
        <v>375</v>
      </c>
      <c r="D77" s="196" t="s">
        <v>40</v>
      </c>
      <c r="E77" s="196" t="s">
        <v>376</v>
      </c>
      <c r="F77" s="386" t="s">
        <v>343</v>
      </c>
      <c r="G77" s="386"/>
      <c r="H77" s="198" t="s">
        <v>65</v>
      </c>
      <c r="I77" s="199">
        <v>1.0978000000000001</v>
      </c>
      <c r="J77" s="199">
        <v>0</v>
      </c>
      <c r="K77" s="200">
        <f>K66</f>
        <v>3.19</v>
      </c>
      <c r="L77" s="200">
        <f t="shared" si="6"/>
        <v>3.5</v>
      </c>
    </row>
    <row r="78" spans="2:12" ht="15" customHeight="1" x14ac:dyDescent="0.25">
      <c r="B78" s="196" t="s">
        <v>335</v>
      </c>
      <c r="C78" s="197" t="s">
        <v>365</v>
      </c>
      <c r="D78" s="196" t="s">
        <v>40</v>
      </c>
      <c r="E78" s="196" t="s">
        <v>366</v>
      </c>
      <c r="F78" s="386" t="s">
        <v>336</v>
      </c>
      <c r="G78" s="386"/>
      <c r="H78" s="198" t="s">
        <v>41</v>
      </c>
      <c r="I78" s="199">
        <v>2.1059999999999999</v>
      </c>
      <c r="J78" s="199">
        <v>0</v>
      </c>
      <c r="K78" s="200">
        <f>K60</f>
        <v>24.32</v>
      </c>
      <c r="L78" s="200">
        <f t="shared" si="6"/>
        <v>51.22</v>
      </c>
    </row>
    <row r="79" spans="2:12" ht="15" customHeight="1" x14ac:dyDescent="0.25">
      <c r="B79" s="196" t="s">
        <v>335</v>
      </c>
      <c r="C79" s="197" t="s">
        <v>377</v>
      </c>
      <c r="D79" s="196" t="s">
        <v>40</v>
      </c>
      <c r="E79" s="196" t="s">
        <v>378</v>
      </c>
      <c r="F79" s="386" t="s">
        <v>336</v>
      </c>
      <c r="G79" s="386"/>
      <c r="H79" s="198" t="s">
        <v>44</v>
      </c>
      <c r="I79" s="199">
        <v>20.186800000000002</v>
      </c>
      <c r="J79" s="199">
        <v>0</v>
      </c>
      <c r="K79" s="200">
        <f>K59</f>
        <v>0.33</v>
      </c>
      <c r="L79" s="200">
        <f t="shared" si="6"/>
        <v>6.66</v>
      </c>
    </row>
    <row r="80" spans="2:12" ht="15" customHeight="1" x14ac:dyDescent="0.25">
      <c r="B80" s="196" t="s">
        <v>335</v>
      </c>
      <c r="C80" s="197" t="s">
        <v>373</v>
      </c>
      <c r="D80" s="196" t="s">
        <v>40</v>
      </c>
      <c r="E80" s="196" t="s">
        <v>374</v>
      </c>
      <c r="F80" s="386" t="s">
        <v>336</v>
      </c>
      <c r="G80" s="386"/>
      <c r="H80" s="198" t="s">
        <v>55</v>
      </c>
      <c r="I80" s="199">
        <v>0.79249999999999998</v>
      </c>
      <c r="J80" s="199">
        <v>0</v>
      </c>
      <c r="K80" s="200">
        <f>K65</f>
        <v>2.5499999999999998</v>
      </c>
      <c r="L80" s="200">
        <f t="shared" si="6"/>
        <v>2.02</v>
      </c>
    </row>
    <row r="81" spans="2:12" ht="15" customHeight="1" x14ac:dyDescent="0.25">
      <c r="B81" s="196" t="s">
        <v>335</v>
      </c>
      <c r="C81" s="197" t="s">
        <v>363</v>
      </c>
      <c r="D81" s="196" t="s">
        <v>40</v>
      </c>
      <c r="E81" s="196" t="s">
        <v>364</v>
      </c>
      <c r="F81" s="386" t="s">
        <v>336</v>
      </c>
      <c r="G81" s="386"/>
      <c r="H81" s="198" t="s">
        <v>360</v>
      </c>
      <c r="I81" s="199">
        <v>2.9600000000000001E-2</v>
      </c>
      <c r="J81" s="199">
        <v>0</v>
      </c>
      <c r="K81" s="200">
        <f>K63</f>
        <v>51.5</v>
      </c>
      <c r="L81" s="200">
        <f t="shared" si="6"/>
        <v>1.52</v>
      </c>
    </row>
    <row r="82" spans="2:12" ht="15" customHeight="1" x14ac:dyDescent="0.25">
      <c r="B82" s="196" t="s">
        <v>335</v>
      </c>
      <c r="C82" s="197" t="s">
        <v>379</v>
      </c>
      <c r="D82" s="196" t="s">
        <v>40</v>
      </c>
      <c r="E82" s="196" t="s">
        <v>380</v>
      </c>
      <c r="F82" s="386" t="s">
        <v>336</v>
      </c>
      <c r="G82" s="386"/>
      <c r="H82" s="198" t="s">
        <v>44</v>
      </c>
      <c r="I82" s="199">
        <v>0.54410000000000003</v>
      </c>
      <c r="J82" s="199">
        <v>0</v>
      </c>
      <c r="K82" s="200">
        <v>0.33</v>
      </c>
      <c r="L82" s="200">
        <f t="shared" si="6"/>
        <v>0.18</v>
      </c>
    </row>
    <row r="83" spans="2:12" ht="15" customHeight="1" x14ac:dyDescent="0.25">
      <c r="B83" s="196" t="s">
        <v>335</v>
      </c>
      <c r="C83" s="197" t="s">
        <v>367</v>
      </c>
      <c r="D83" s="196" t="s">
        <v>40</v>
      </c>
      <c r="E83" s="196" t="s">
        <v>368</v>
      </c>
      <c r="F83" s="386" t="s">
        <v>336</v>
      </c>
      <c r="G83" s="386"/>
      <c r="H83" s="198" t="s">
        <v>55</v>
      </c>
      <c r="I83" s="199">
        <v>0.91169999999999995</v>
      </c>
      <c r="J83" s="199">
        <v>0</v>
      </c>
      <c r="K83" s="200">
        <f>K67</f>
        <v>6.71</v>
      </c>
      <c r="L83" s="200">
        <f t="shared" si="6"/>
        <v>6.12</v>
      </c>
    </row>
    <row r="84" spans="2:12" ht="15" customHeight="1" x14ac:dyDescent="0.25">
      <c r="B84" s="196" t="s">
        <v>335</v>
      </c>
      <c r="C84" s="197" t="s">
        <v>369</v>
      </c>
      <c r="D84" s="196" t="s">
        <v>40</v>
      </c>
      <c r="E84" s="196" t="s">
        <v>370</v>
      </c>
      <c r="F84" s="386" t="s">
        <v>336</v>
      </c>
      <c r="G84" s="386"/>
      <c r="H84" s="198" t="s">
        <v>55</v>
      </c>
      <c r="I84" s="199">
        <v>2.9138999999999999</v>
      </c>
      <c r="J84" s="199">
        <v>0</v>
      </c>
      <c r="K84" s="200">
        <f>K62</f>
        <v>7.61</v>
      </c>
      <c r="L84" s="200">
        <f t="shared" si="6"/>
        <v>22.17</v>
      </c>
    </row>
    <row r="85" spans="2:12" ht="15" customHeight="1" x14ac:dyDescent="0.25">
      <c r="B85" s="193"/>
      <c r="C85" s="193"/>
      <c r="D85" s="193"/>
      <c r="E85" s="193"/>
      <c r="F85" s="193"/>
      <c r="G85" s="193" t="s">
        <v>327</v>
      </c>
      <c r="H85" s="194">
        <f>L73+L75</f>
        <v>15.74</v>
      </c>
      <c r="I85" s="193" t="s">
        <v>328</v>
      </c>
      <c r="J85" s="194">
        <v>0</v>
      </c>
      <c r="K85" s="193" t="s">
        <v>329</v>
      </c>
      <c r="L85" s="194"/>
    </row>
    <row r="86" spans="2:12" ht="15" customHeight="1" thickBot="1" x14ac:dyDescent="0.3">
      <c r="B86" s="193"/>
      <c r="C86" s="193"/>
      <c r="D86" s="193"/>
      <c r="E86" s="193"/>
      <c r="F86" s="193"/>
      <c r="G86" s="193" t="s">
        <v>330</v>
      </c>
      <c r="H86" s="194"/>
      <c r="I86" s="387"/>
      <c r="J86" s="387" t="s">
        <v>331</v>
      </c>
      <c r="K86" s="193"/>
      <c r="L86" s="194"/>
    </row>
    <row r="87" spans="2:12" ht="15" customHeight="1" thickTop="1" x14ac:dyDescent="0.25">
      <c r="B87" s="195"/>
      <c r="C87" s="195"/>
      <c r="D87" s="195"/>
      <c r="E87" s="195"/>
      <c r="F87" s="195"/>
      <c r="G87" s="195"/>
      <c r="H87" s="195"/>
      <c r="I87" s="195"/>
      <c r="J87" s="195"/>
      <c r="K87" s="195"/>
      <c r="L87" s="195"/>
    </row>
    <row r="88" spans="2:12" ht="15" customHeight="1" x14ac:dyDescent="0.25">
      <c r="B88" s="185" t="s">
        <v>885</v>
      </c>
      <c r="C88" s="186" t="s">
        <v>28</v>
      </c>
      <c r="D88" s="185" t="s">
        <v>29</v>
      </c>
      <c r="E88" s="185" t="s">
        <v>30</v>
      </c>
      <c r="F88" s="388" t="s">
        <v>317</v>
      </c>
      <c r="G88" s="388"/>
      <c r="H88" s="187" t="s">
        <v>31</v>
      </c>
      <c r="I88" s="186" t="s">
        <v>32</v>
      </c>
      <c r="J88" s="186" t="s">
        <v>1178</v>
      </c>
      <c r="K88" s="186" t="s">
        <v>33</v>
      </c>
      <c r="L88" s="186" t="s">
        <v>35</v>
      </c>
    </row>
    <row r="89" spans="2:12" ht="15" customHeight="1" x14ac:dyDescent="0.25">
      <c r="B89" s="181" t="s">
        <v>318</v>
      </c>
      <c r="C89" s="182" t="s">
        <v>1010</v>
      </c>
      <c r="D89" s="181" t="s">
        <v>100</v>
      </c>
      <c r="E89" s="181" t="s">
        <v>1011</v>
      </c>
      <c r="F89" s="389" t="s">
        <v>339</v>
      </c>
      <c r="G89" s="389"/>
      <c r="H89" s="183" t="s">
        <v>41</v>
      </c>
      <c r="I89" s="253">
        <v>1</v>
      </c>
      <c r="J89" s="184"/>
      <c r="K89" s="184"/>
      <c r="L89" s="294">
        <f>SUM(L90:L101)</f>
        <v>175.68</v>
      </c>
    </row>
    <row r="90" spans="2:12" ht="15" customHeight="1" x14ac:dyDescent="0.25">
      <c r="B90" s="188" t="s">
        <v>319</v>
      </c>
      <c r="C90" s="189" t="s">
        <v>320</v>
      </c>
      <c r="D90" s="188" t="s">
        <v>40</v>
      </c>
      <c r="E90" s="188" t="s">
        <v>321</v>
      </c>
      <c r="F90" s="390" t="s">
        <v>322</v>
      </c>
      <c r="G90" s="390"/>
      <c r="H90" s="190" t="s">
        <v>323</v>
      </c>
      <c r="I90" s="191">
        <v>0.19500000000000001</v>
      </c>
      <c r="J90" s="191">
        <v>0</v>
      </c>
      <c r="K90" s="192">
        <f>K75</f>
        <v>18.809999999999999</v>
      </c>
      <c r="L90" s="192">
        <f t="shared" ref="L90:L101" si="7">K90*I90</f>
        <v>3.67</v>
      </c>
    </row>
    <row r="91" spans="2:12" ht="15" customHeight="1" x14ac:dyDescent="0.25">
      <c r="B91" s="188" t="s">
        <v>319</v>
      </c>
      <c r="C91" s="189" t="s">
        <v>886</v>
      </c>
      <c r="D91" s="188" t="s">
        <v>146</v>
      </c>
      <c r="E91" s="188" t="s">
        <v>887</v>
      </c>
      <c r="F91" s="390" t="s">
        <v>889</v>
      </c>
      <c r="G91" s="390"/>
      <c r="H91" s="190" t="s">
        <v>41</v>
      </c>
      <c r="I91" s="191">
        <v>1.02</v>
      </c>
      <c r="J91" s="191">
        <v>0</v>
      </c>
      <c r="K91" s="192">
        <f>K74</f>
        <v>64.56</v>
      </c>
      <c r="L91" s="192">
        <f t="shared" si="7"/>
        <v>65.849999999999994</v>
      </c>
    </row>
    <row r="92" spans="2:12" ht="15" customHeight="1" x14ac:dyDescent="0.25">
      <c r="B92" s="188" t="s">
        <v>319</v>
      </c>
      <c r="C92" s="189" t="s">
        <v>361</v>
      </c>
      <c r="D92" s="188" t="s">
        <v>40</v>
      </c>
      <c r="E92" s="188" t="s">
        <v>362</v>
      </c>
      <c r="F92" s="390" t="s">
        <v>322</v>
      </c>
      <c r="G92" s="390"/>
      <c r="H92" s="190" t="s">
        <v>323</v>
      </c>
      <c r="I92" s="191">
        <v>0.59499999999999997</v>
      </c>
      <c r="J92" s="191">
        <v>0</v>
      </c>
      <c r="K92" s="192">
        <f>K73</f>
        <v>20.29</v>
      </c>
      <c r="L92" s="192">
        <f t="shared" si="7"/>
        <v>12.07</v>
      </c>
    </row>
    <row r="93" spans="2:12" ht="15" customHeight="1" x14ac:dyDescent="0.25">
      <c r="B93" s="196" t="s">
        <v>335</v>
      </c>
      <c r="C93" s="197" t="s">
        <v>371</v>
      </c>
      <c r="D93" s="196" t="s">
        <v>40</v>
      </c>
      <c r="E93" s="196" t="s">
        <v>372</v>
      </c>
      <c r="F93" s="386" t="s">
        <v>336</v>
      </c>
      <c r="G93" s="386"/>
      <c r="H93" s="198" t="s">
        <v>55</v>
      </c>
      <c r="I93" s="199">
        <v>2.5026999999999999</v>
      </c>
      <c r="J93" s="199">
        <v>0</v>
      </c>
      <c r="K93" s="200">
        <f>K76</f>
        <v>0.28000000000000003</v>
      </c>
      <c r="L93" s="200">
        <f t="shared" si="7"/>
        <v>0.7</v>
      </c>
    </row>
    <row r="94" spans="2:12" ht="15" customHeight="1" x14ac:dyDescent="0.25">
      <c r="B94" s="196" t="s">
        <v>335</v>
      </c>
      <c r="C94" s="197" t="s">
        <v>379</v>
      </c>
      <c r="D94" s="196" t="s">
        <v>40</v>
      </c>
      <c r="E94" s="196" t="s">
        <v>380</v>
      </c>
      <c r="F94" s="386" t="s">
        <v>336</v>
      </c>
      <c r="G94" s="386"/>
      <c r="H94" s="198" t="s">
        <v>44</v>
      </c>
      <c r="I94" s="199">
        <v>0.54410000000000003</v>
      </c>
      <c r="J94" s="199">
        <v>0</v>
      </c>
      <c r="K94" s="200">
        <f>K82</f>
        <v>0.33</v>
      </c>
      <c r="L94" s="200">
        <f t="shared" si="7"/>
        <v>0.18</v>
      </c>
    </row>
    <row r="95" spans="2:12" ht="15" customHeight="1" x14ac:dyDescent="0.25">
      <c r="B95" s="196" t="s">
        <v>335</v>
      </c>
      <c r="C95" s="197" t="s">
        <v>363</v>
      </c>
      <c r="D95" s="196" t="s">
        <v>40</v>
      </c>
      <c r="E95" s="196" t="s">
        <v>364</v>
      </c>
      <c r="F95" s="386" t="s">
        <v>336</v>
      </c>
      <c r="G95" s="386"/>
      <c r="H95" s="198" t="s">
        <v>360</v>
      </c>
      <c r="I95" s="199">
        <v>2.9600000000000001E-2</v>
      </c>
      <c r="J95" s="199">
        <v>0</v>
      </c>
      <c r="K95" s="200">
        <f>K81</f>
        <v>51.5</v>
      </c>
      <c r="L95" s="200">
        <f t="shared" si="7"/>
        <v>1.52</v>
      </c>
    </row>
    <row r="96" spans="2:12" ht="15" customHeight="1" x14ac:dyDescent="0.25">
      <c r="B96" s="196" t="s">
        <v>335</v>
      </c>
      <c r="C96" s="197" t="s">
        <v>367</v>
      </c>
      <c r="D96" s="196" t="s">
        <v>40</v>
      </c>
      <c r="E96" s="196" t="s">
        <v>368</v>
      </c>
      <c r="F96" s="386" t="s">
        <v>336</v>
      </c>
      <c r="G96" s="386"/>
      <c r="H96" s="198" t="s">
        <v>55</v>
      </c>
      <c r="I96" s="199">
        <v>0.91169999999999995</v>
      </c>
      <c r="J96" s="199">
        <v>0</v>
      </c>
      <c r="K96" s="200">
        <f>K83</f>
        <v>6.71</v>
      </c>
      <c r="L96" s="200">
        <f t="shared" si="7"/>
        <v>6.12</v>
      </c>
    </row>
    <row r="97" spans="2:12" ht="15" customHeight="1" x14ac:dyDescent="0.25">
      <c r="B97" s="196" t="s">
        <v>335</v>
      </c>
      <c r="C97" s="197" t="s">
        <v>369</v>
      </c>
      <c r="D97" s="196" t="s">
        <v>40</v>
      </c>
      <c r="E97" s="196" t="s">
        <v>370</v>
      </c>
      <c r="F97" s="386" t="s">
        <v>336</v>
      </c>
      <c r="G97" s="386"/>
      <c r="H97" s="198" t="s">
        <v>55</v>
      </c>
      <c r="I97" s="199">
        <v>2.9138999999999999</v>
      </c>
      <c r="J97" s="199">
        <v>0</v>
      </c>
      <c r="K97" s="200">
        <f>K84</f>
        <v>7.61</v>
      </c>
      <c r="L97" s="200">
        <f t="shared" si="7"/>
        <v>22.17</v>
      </c>
    </row>
    <row r="98" spans="2:12" ht="15" customHeight="1" x14ac:dyDescent="0.25">
      <c r="B98" s="196" t="s">
        <v>335</v>
      </c>
      <c r="C98" s="197" t="s">
        <v>377</v>
      </c>
      <c r="D98" s="196" t="s">
        <v>40</v>
      </c>
      <c r="E98" s="196" t="s">
        <v>378</v>
      </c>
      <c r="F98" s="386" t="s">
        <v>336</v>
      </c>
      <c r="G98" s="386"/>
      <c r="H98" s="198" t="s">
        <v>44</v>
      </c>
      <c r="I98" s="199">
        <v>20.186800000000002</v>
      </c>
      <c r="J98" s="199">
        <v>0</v>
      </c>
      <c r="K98" s="200">
        <f>K79</f>
        <v>0.33</v>
      </c>
      <c r="L98" s="200">
        <f t="shared" si="7"/>
        <v>6.66</v>
      </c>
    </row>
    <row r="99" spans="2:12" ht="15" customHeight="1" x14ac:dyDescent="0.25">
      <c r="B99" s="196" t="s">
        <v>335</v>
      </c>
      <c r="C99" s="197" t="s">
        <v>373</v>
      </c>
      <c r="D99" s="196" t="s">
        <v>40</v>
      </c>
      <c r="E99" s="196" t="s">
        <v>374</v>
      </c>
      <c r="F99" s="386" t="s">
        <v>336</v>
      </c>
      <c r="G99" s="386"/>
      <c r="H99" s="198" t="s">
        <v>55</v>
      </c>
      <c r="I99" s="199">
        <v>0.79249999999999998</v>
      </c>
      <c r="J99" s="199">
        <v>0</v>
      </c>
      <c r="K99" s="200">
        <f>K80</f>
        <v>2.5499999999999998</v>
      </c>
      <c r="L99" s="200">
        <f t="shared" si="7"/>
        <v>2.02</v>
      </c>
    </row>
    <row r="100" spans="2:12" ht="15" customHeight="1" x14ac:dyDescent="0.25">
      <c r="B100" s="196" t="s">
        <v>335</v>
      </c>
      <c r="C100" s="197" t="s">
        <v>960</v>
      </c>
      <c r="D100" s="196" t="s">
        <v>40</v>
      </c>
      <c r="E100" s="196" t="s">
        <v>961</v>
      </c>
      <c r="F100" s="386" t="s">
        <v>336</v>
      </c>
      <c r="G100" s="386"/>
      <c r="H100" s="198" t="s">
        <v>41</v>
      </c>
      <c r="I100" s="199">
        <v>2.1059999999999999</v>
      </c>
      <c r="J100" s="199">
        <v>0</v>
      </c>
      <c r="K100" s="200">
        <f>K78</f>
        <v>24.32</v>
      </c>
      <c r="L100" s="200">
        <f t="shared" si="7"/>
        <v>51.22</v>
      </c>
    </row>
    <row r="101" spans="2:12" ht="15" customHeight="1" x14ac:dyDescent="0.25">
      <c r="B101" s="196" t="s">
        <v>335</v>
      </c>
      <c r="C101" s="197" t="s">
        <v>375</v>
      </c>
      <c r="D101" s="196" t="s">
        <v>40</v>
      </c>
      <c r="E101" s="196" t="s">
        <v>376</v>
      </c>
      <c r="F101" s="386" t="s">
        <v>343</v>
      </c>
      <c r="G101" s="386"/>
      <c r="H101" s="198" t="s">
        <v>65</v>
      </c>
      <c r="I101" s="199">
        <v>1.0978000000000001</v>
      </c>
      <c r="J101" s="199">
        <v>0</v>
      </c>
      <c r="K101" s="200">
        <f>K77</f>
        <v>3.19</v>
      </c>
      <c r="L101" s="200">
        <f t="shared" si="7"/>
        <v>3.5</v>
      </c>
    </row>
    <row r="102" spans="2:12" ht="15" customHeight="1" x14ac:dyDescent="0.25">
      <c r="B102" s="193"/>
      <c r="C102" s="193"/>
      <c r="D102" s="193"/>
      <c r="E102" s="193"/>
      <c r="F102" s="193"/>
      <c r="G102" s="193" t="s">
        <v>327</v>
      </c>
      <c r="H102" s="194">
        <f>L90+L92</f>
        <v>15.74</v>
      </c>
      <c r="I102" s="193" t="s">
        <v>328</v>
      </c>
      <c r="J102" s="194">
        <v>0</v>
      </c>
      <c r="K102" s="193" t="s">
        <v>329</v>
      </c>
      <c r="L102" s="194"/>
    </row>
    <row r="103" spans="2:12" ht="15" customHeight="1" thickBot="1" x14ac:dyDescent="0.3">
      <c r="B103" s="193"/>
      <c r="C103" s="193"/>
      <c r="D103" s="193"/>
      <c r="E103" s="193"/>
      <c r="F103" s="193"/>
      <c r="G103" s="193" t="s">
        <v>330</v>
      </c>
      <c r="H103" s="194"/>
      <c r="I103" s="387"/>
      <c r="J103" s="387" t="s">
        <v>331</v>
      </c>
      <c r="K103" s="193"/>
      <c r="L103" s="194"/>
    </row>
    <row r="104" spans="2:12" ht="15" customHeight="1" thickTop="1" x14ac:dyDescent="0.25">
      <c r="B104" s="195"/>
      <c r="C104" s="195"/>
      <c r="D104" s="195"/>
      <c r="E104" s="195"/>
      <c r="F104" s="195"/>
      <c r="G104" s="195"/>
      <c r="H104" s="195"/>
      <c r="I104" s="195"/>
      <c r="J104" s="195"/>
      <c r="K104" s="195"/>
      <c r="L104" s="195"/>
    </row>
    <row r="105" spans="2:12" ht="15" customHeight="1" x14ac:dyDescent="0.25">
      <c r="B105" s="185" t="s">
        <v>1652</v>
      </c>
      <c r="C105" s="186" t="s">
        <v>28</v>
      </c>
      <c r="D105" s="185" t="s">
        <v>29</v>
      </c>
      <c r="E105" s="185" t="s">
        <v>30</v>
      </c>
      <c r="F105" s="388" t="s">
        <v>317</v>
      </c>
      <c r="G105" s="388"/>
      <c r="H105" s="187" t="s">
        <v>31</v>
      </c>
      <c r="I105" s="186" t="s">
        <v>32</v>
      </c>
      <c r="J105" s="186" t="s">
        <v>1178</v>
      </c>
      <c r="K105" s="186" t="s">
        <v>33</v>
      </c>
      <c r="L105" s="186" t="s">
        <v>35</v>
      </c>
    </row>
    <row r="106" spans="2:12" ht="15" customHeight="1" x14ac:dyDescent="0.25">
      <c r="B106" s="181" t="s">
        <v>318</v>
      </c>
      <c r="C106" s="182" t="s">
        <v>580</v>
      </c>
      <c r="D106" s="181" t="s">
        <v>100</v>
      </c>
      <c r="E106" s="181" t="s">
        <v>581</v>
      </c>
      <c r="F106" s="389">
        <v>53</v>
      </c>
      <c r="G106" s="389"/>
      <c r="H106" s="183" t="s">
        <v>44</v>
      </c>
      <c r="I106" s="253">
        <v>1</v>
      </c>
      <c r="J106" s="184"/>
      <c r="K106" s="184"/>
      <c r="L106" s="294">
        <f>SUM(L107:L112)</f>
        <v>88.2</v>
      </c>
    </row>
    <row r="107" spans="2:12" ht="15" customHeight="1" x14ac:dyDescent="0.25">
      <c r="B107" s="188" t="s">
        <v>319</v>
      </c>
      <c r="C107" s="189" t="s">
        <v>346</v>
      </c>
      <c r="D107" s="188" t="s">
        <v>40</v>
      </c>
      <c r="E107" s="188" t="s">
        <v>347</v>
      </c>
      <c r="F107" s="390" t="s">
        <v>322</v>
      </c>
      <c r="G107" s="390"/>
      <c r="H107" s="190" t="s">
        <v>323</v>
      </c>
      <c r="I107" s="191">
        <v>0.86399999999999999</v>
      </c>
      <c r="J107" s="191">
        <v>0</v>
      </c>
      <c r="K107" s="192">
        <v>19.03</v>
      </c>
      <c r="L107" s="192">
        <f t="shared" ref="L107:L112" si="8">K107*I107</f>
        <v>16.440000000000001</v>
      </c>
    </row>
    <row r="108" spans="2:12" ht="15" customHeight="1" x14ac:dyDescent="0.25">
      <c r="B108" s="188" t="s">
        <v>319</v>
      </c>
      <c r="C108" s="189" t="s">
        <v>348</v>
      </c>
      <c r="D108" s="188" t="s">
        <v>40</v>
      </c>
      <c r="E108" s="188" t="s">
        <v>349</v>
      </c>
      <c r="F108" s="390" t="s">
        <v>322</v>
      </c>
      <c r="G108" s="390"/>
      <c r="H108" s="190" t="s">
        <v>323</v>
      </c>
      <c r="I108" s="191">
        <v>0.86399999999999999</v>
      </c>
      <c r="J108" s="191">
        <v>0</v>
      </c>
      <c r="K108" s="192">
        <v>22.76</v>
      </c>
      <c r="L108" s="192">
        <f t="shared" si="8"/>
        <v>19.66</v>
      </c>
    </row>
    <row r="109" spans="2:12" ht="15" customHeight="1" x14ac:dyDescent="0.25">
      <c r="B109" s="196" t="s">
        <v>335</v>
      </c>
      <c r="C109" s="197" t="s">
        <v>745</v>
      </c>
      <c r="D109" s="196" t="s">
        <v>51</v>
      </c>
      <c r="E109" s="196" t="s">
        <v>746</v>
      </c>
      <c r="F109" s="386" t="s">
        <v>336</v>
      </c>
      <c r="G109" s="386"/>
      <c r="H109" s="198" t="s">
        <v>44</v>
      </c>
      <c r="I109" s="199">
        <v>0.2</v>
      </c>
      <c r="J109" s="199">
        <v>0</v>
      </c>
      <c r="K109" s="200">
        <v>20</v>
      </c>
      <c r="L109" s="200">
        <f t="shared" si="8"/>
        <v>4</v>
      </c>
    </row>
    <row r="110" spans="2:12" ht="15" customHeight="1" x14ac:dyDescent="0.25">
      <c r="B110" s="196" t="s">
        <v>335</v>
      </c>
      <c r="C110" s="197" t="s">
        <v>749</v>
      </c>
      <c r="D110" s="196" t="s">
        <v>40</v>
      </c>
      <c r="E110" s="196" t="s">
        <v>750</v>
      </c>
      <c r="F110" s="386" t="s">
        <v>336</v>
      </c>
      <c r="G110" s="386"/>
      <c r="H110" s="198" t="s">
        <v>44</v>
      </c>
      <c r="I110" s="199">
        <v>1</v>
      </c>
      <c r="J110" s="199">
        <v>0</v>
      </c>
      <c r="K110" s="200">
        <v>39.58</v>
      </c>
      <c r="L110" s="200">
        <f t="shared" si="8"/>
        <v>39.58</v>
      </c>
    </row>
    <row r="111" spans="2:12" ht="15" customHeight="1" x14ac:dyDescent="0.25">
      <c r="B111" s="196" t="s">
        <v>335</v>
      </c>
      <c r="C111" s="197" t="s">
        <v>779</v>
      </c>
      <c r="D111" s="196" t="s">
        <v>40</v>
      </c>
      <c r="E111" s="196" t="s">
        <v>780</v>
      </c>
      <c r="F111" s="386" t="s">
        <v>336</v>
      </c>
      <c r="G111" s="386"/>
      <c r="H111" s="198" t="s">
        <v>44</v>
      </c>
      <c r="I111" s="199">
        <v>1</v>
      </c>
      <c r="J111" s="199">
        <v>0</v>
      </c>
      <c r="K111" s="200">
        <v>7.62</v>
      </c>
      <c r="L111" s="200">
        <f t="shared" si="8"/>
        <v>7.62</v>
      </c>
    </row>
    <row r="112" spans="2:12" ht="15" customHeight="1" x14ac:dyDescent="0.25">
      <c r="B112" s="196" t="s">
        <v>335</v>
      </c>
      <c r="C112" s="197" t="s">
        <v>747</v>
      </c>
      <c r="D112" s="196" t="s">
        <v>51</v>
      </c>
      <c r="E112" s="196" t="s">
        <v>748</v>
      </c>
      <c r="F112" s="386" t="s">
        <v>336</v>
      </c>
      <c r="G112" s="386"/>
      <c r="H112" s="198" t="s">
        <v>44</v>
      </c>
      <c r="I112" s="199">
        <v>0.1</v>
      </c>
      <c r="J112" s="199">
        <v>0</v>
      </c>
      <c r="K112" s="200">
        <v>9</v>
      </c>
      <c r="L112" s="200">
        <f t="shared" si="8"/>
        <v>0.9</v>
      </c>
    </row>
    <row r="113" spans="2:12" ht="15" customHeight="1" x14ac:dyDescent="0.25">
      <c r="B113" s="193"/>
      <c r="C113" s="193"/>
      <c r="D113" s="193"/>
      <c r="E113" s="193"/>
      <c r="F113" s="193"/>
      <c r="G113" s="193" t="s">
        <v>327</v>
      </c>
      <c r="H113" s="194">
        <f>L107+L108</f>
        <v>36.1</v>
      </c>
      <c r="I113" s="193" t="s">
        <v>328</v>
      </c>
      <c r="J113" s="194">
        <v>0</v>
      </c>
      <c r="K113" s="193" t="s">
        <v>329</v>
      </c>
      <c r="L113" s="194"/>
    </row>
    <row r="114" spans="2:12" ht="15" customHeight="1" thickBot="1" x14ac:dyDescent="0.3">
      <c r="B114" s="193"/>
      <c r="C114" s="193"/>
      <c r="D114" s="193"/>
      <c r="E114" s="193"/>
      <c r="F114" s="193"/>
      <c r="G114" s="193" t="s">
        <v>330</v>
      </c>
      <c r="H114" s="194"/>
      <c r="I114" s="387"/>
      <c r="J114" s="387" t="s">
        <v>331</v>
      </c>
      <c r="K114" s="193"/>
      <c r="L114" s="194"/>
    </row>
    <row r="115" spans="2:12" ht="15" customHeight="1" thickTop="1" x14ac:dyDescent="0.25">
      <c r="B115" s="195"/>
      <c r="C115" s="195"/>
      <c r="D115" s="195"/>
      <c r="E115" s="195"/>
      <c r="F115" s="195"/>
      <c r="G115" s="195"/>
      <c r="H115" s="195"/>
      <c r="I115" s="195"/>
      <c r="J115" s="195"/>
      <c r="K115" s="195"/>
      <c r="L115" s="195"/>
    </row>
    <row r="116" spans="2:12" ht="15" customHeight="1" x14ac:dyDescent="0.25">
      <c r="B116" s="185" t="s">
        <v>1227</v>
      </c>
      <c r="C116" s="186" t="s">
        <v>28</v>
      </c>
      <c r="D116" s="185" t="s">
        <v>29</v>
      </c>
      <c r="E116" s="185" t="s">
        <v>30</v>
      </c>
      <c r="F116" s="388" t="s">
        <v>317</v>
      </c>
      <c r="G116" s="388"/>
      <c r="H116" s="187" t="s">
        <v>31</v>
      </c>
      <c r="I116" s="186" t="s">
        <v>32</v>
      </c>
      <c r="J116" s="186" t="s">
        <v>1178</v>
      </c>
      <c r="K116" s="186" t="s">
        <v>33</v>
      </c>
      <c r="L116" s="186" t="s">
        <v>35</v>
      </c>
    </row>
    <row r="117" spans="2:12" ht="15" customHeight="1" x14ac:dyDescent="0.25">
      <c r="B117" s="181" t="s">
        <v>318</v>
      </c>
      <c r="C117" s="182" t="s">
        <v>852</v>
      </c>
      <c r="D117" s="181" t="s">
        <v>100</v>
      </c>
      <c r="E117" s="181" t="s">
        <v>853</v>
      </c>
      <c r="F117" s="389" t="s">
        <v>389</v>
      </c>
      <c r="G117" s="389"/>
      <c r="H117" s="183" t="s">
        <v>44</v>
      </c>
      <c r="I117" s="253">
        <v>1</v>
      </c>
      <c r="J117" s="184"/>
      <c r="K117" s="184"/>
      <c r="L117" s="294">
        <f>SUM(L118:L120)</f>
        <v>12794.9</v>
      </c>
    </row>
    <row r="118" spans="2:12" ht="15" customHeight="1" x14ac:dyDescent="0.25">
      <c r="B118" s="188" t="s">
        <v>319</v>
      </c>
      <c r="C118" s="189" t="s">
        <v>346</v>
      </c>
      <c r="D118" s="188" t="s">
        <v>40</v>
      </c>
      <c r="E118" s="188" t="s">
        <v>347</v>
      </c>
      <c r="F118" s="390" t="s">
        <v>322</v>
      </c>
      <c r="G118" s="390"/>
      <c r="H118" s="190" t="s">
        <v>323</v>
      </c>
      <c r="I118" s="191">
        <v>5.26</v>
      </c>
      <c r="J118" s="191">
        <v>0</v>
      </c>
      <c r="K118" s="192">
        <f>K107</f>
        <v>19.03</v>
      </c>
      <c r="L118" s="192">
        <f t="shared" ref="L118:L120" si="9">K118*I118</f>
        <v>100.1</v>
      </c>
    </row>
    <row r="119" spans="2:12" ht="15" customHeight="1" x14ac:dyDescent="0.25">
      <c r="B119" s="188" t="s">
        <v>319</v>
      </c>
      <c r="C119" s="189" t="s">
        <v>348</v>
      </c>
      <c r="D119" s="188" t="s">
        <v>40</v>
      </c>
      <c r="E119" s="188" t="s">
        <v>349</v>
      </c>
      <c r="F119" s="390" t="s">
        <v>322</v>
      </c>
      <c r="G119" s="390"/>
      <c r="H119" s="190" t="s">
        <v>323</v>
      </c>
      <c r="I119" s="191">
        <v>3.5059999999999998</v>
      </c>
      <c r="J119" s="191">
        <v>0</v>
      </c>
      <c r="K119" s="192">
        <f>K108</f>
        <v>22.76</v>
      </c>
      <c r="L119" s="192">
        <f t="shared" si="9"/>
        <v>79.8</v>
      </c>
    </row>
    <row r="120" spans="2:12" ht="15" customHeight="1" x14ac:dyDescent="0.25">
      <c r="B120" s="196" t="s">
        <v>335</v>
      </c>
      <c r="C120" s="197" t="s">
        <v>865</v>
      </c>
      <c r="D120" s="196" t="s">
        <v>100</v>
      </c>
      <c r="E120" s="196" t="s">
        <v>853</v>
      </c>
      <c r="F120" s="386" t="s">
        <v>336</v>
      </c>
      <c r="G120" s="386"/>
      <c r="H120" s="198" t="s">
        <v>44</v>
      </c>
      <c r="I120" s="199">
        <v>1</v>
      </c>
      <c r="J120" s="199">
        <v>0</v>
      </c>
      <c r="K120" s="200">
        <v>12615</v>
      </c>
      <c r="L120" s="200">
        <f t="shared" si="9"/>
        <v>12615</v>
      </c>
    </row>
    <row r="121" spans="2:12" ht="15" customHeight="1" x14ac:dyDescent="0.25">
      <c r="B121" s="193"/>
      <c r="C121" s="193"/>
      <c r="D121" s="193"/>
      <c r="E121" s="193"/>
      <c r="F121" s="193"/>
      <c r="G121" s="193" t="s">
        <v>327</v>
      </c>
      <c r="H121" s="194">
        <f>L118+L119</f>
        <v>179.9</v>
      </c>
      <c r="I121" s="193" t="s">
        <v>328</v>
      </c>
      <c r="J121" s="194">
        <v>0</v>
      </c>
      <c r="K121" s="193" t="s">
        <v>329</v>
      </c>
      <c r="L121" s="194"/>
    </row>
    <row r="122" spans="2:12" ht="15" customHeight="1" thickBot="1" x14ac:dyDescent="0.3">
      <c r="B122" s="193"/>
      <c r="C122" s="193"/>
      <c r="D122" s="193"/>
      <c r="E122" s="193"/>
      <c r="F122" s="193"/>
      <c r="G122" s="193" t="s">
        <v>330</v>
      </c>
      <c r="H122" s="194"/>
      <c r="I122" s="387"/>
      <c r="J122" s="387" t="s">
        <v>331</v>
      </c>
      <c r="K122" s="193"/>
      <c r="L122" s="194"/>
    </row>
    <row r="123" spans="2:12" ht="15" customHeight="1" thickTop="1" x14ac:dyDescent="0.25">
      <c r="B123" s="195"/>
      <c r="C123" s="195"/>
      <c r="D123" s="195"/>
      <c r="E123" s="195"/>
      <c r="F123" s="195"/>
      <c r="G123" s="195"/>
      <c r="H123" s="195"/>
      <c r="I123" s="195"/>
      <c r="J123" s="195"/>
      <c r="K123" s="195"/>
      <c r="L123" s="195"/>
    </row>
    <row r="124" spans="2:12" ht="15" customHeight="1" x14ac:dyDescent="0.25">
      <c r="B124" s="185" t="s">
        <v>1237</v>
      </c>
      <c r="C124" s="186" t="s">
        <v>28</v>
      </c>
      <c r="D124" s="185" t="s">
        <v>29</v>
      </c>
      <c r="E124" s="185" t="s">
        <v>30</v>
      </c>
      <c r="F124" s="388" t="s">
        <v>317</v>
      </c>
      <c r="G124" s="388"/>
      <c r="H124" s="187" t="s">
        <v>31</v>
      </c>
      <c r="I124" s="186" t="s">
        <v>32</v>
      </c>
      <c r="J124" s="186" t="s">
        <v>1178</v>
      </c>
      <c r="K124" s="186" t="s">
        <v>33</v>
      </c>
      <c r="L124" s="186" t="s">
        <v>35</v>
      </c>
    </row>
    <row r="125" spans="2:12" ht="15" customHeight="1" x14ac:dyDescent="0.25">
      <c r="B125" s="181" t="s">
        <v>318</v>
      </c>
      <c r="C125" s="182" t="s">
        <v>1484</v>
      </c>
      <c r="D125" s="181" t="s">
        <v>100</v>
      </c>
      <c r="E125" s="181" t="s">
        <v>1485</v>
      </c>
      <c r="F125" s="389" t="s">
        <v>389</v>
      </c>
      <c r="G125" s="389"/>
      <c r="H125" s="183" t="s">
        <v>44</v>
      </c>
      <c r="I125" s="253">
        <v>1</v>
      </c>
      <c r="J125" s="184"/>
      <c r="K125" s="184"/>
      <c r="L125" s="294">
        <f>SUM(L126:L128)</f>
        <v>4149.8999999999996</v>
      </c>
    </row>
    <row r="126" spans="2:12" ht="15" customHeight="1" x14ac:dyDescent="0.25">
      <c r="B126" s="188" t="s">
        <v>319</v>
      </c>
      <c r="C126" s="189" t="s">
        <v>346</v>
      </c>
      <c r="D126" s="188" t="s">
        <v>40</v>
      </c>
      <c r="E126" s="188" t="s">
        <v>347</v>
      </c>
      <c r="F126" s="390" t="s">
        <v>322</v>
      </c>
      <c r="G126" s="390"/>
      <c r="H126" s="190" t="s">
        <v>323</v>
      </c>
      <c r="I126" s="191">
        <v>5.26</v>
      </c>
      <c r="J126" s="191">
        <v>0</v>
      </c>
      <c r="K126" s="192">
        <f>K118</f>
        <v>19.03</v>
      </c>
      <c r="L126" s="192">
        <f t="shared" ref="L126:L128" si="10">K126*I126</f>
        <v>100.1</v>
      </c>
    </row>
    <row r="127" spans="2:12" ht="15" customHeight="1" x14ac:dyDescent="0.25">
      <c r="B127" s="188" t="s">
        <v>319</v>
      </c>
      <c r="C127" s="189" t="s">
        <v>348</v>
      </c>
      <c r="D127" s="188" t="s">
        <v>40</v>
      </c>
      <c r="E127" s="188" t="s">
        <v>349</v>
      </c>
      <c r="F127" s="390" t="s">
        <v>322</v>
      </c>
      <c r="G127" s="390"/>
      <c r="H127" s="190" t="s">
        <v>323</v>
      </c>
      <c r="I127" s="191">
        <v>3.5059999999999998</v>
      </c>
      <c r="J127" s="191">
        <v>0</v>
      </c>
      <c r="K127" s="192">
        <f>K119</f>
        <v>22.76</v>
      </c>
      <c r="L127" s="192">
        <f t="shared" si="10"/>
        <v>79.8</v>
      </c>
    </row>
    <row r="128" spans="2:12" ht="15" customHeight="1" x14ac:dyDescent="0.25">
      <c r="B128" s="196" t="s">
        <v>335</v>
      </c>
      <c r="C128" s="197" t="s">
        <v>1597</v>
      </c>
      <c r="D128" s="196" t="s">
        <v>100</v>
      </c>
      <c r="E128" s="196" t="s">
        <v>1485</v>
      </c>
      <c r="F128" s="386" t="s">
        <v>336</v>
      </c>
      <c r="G128" s="386"/>
      <c r="H128" s="198" t="s">
        <v>44</v>
      </c>
      <c r="I128" s="199">
        <v>1</v>
      </c>
      <c r="J128" s="199">
        <v>0</v>
      </c>
      <c r="K128" s="200">
        <v>3970</v>
      </c>
      <c r="L128" s="200">
        <f t="shared" si="10"/>
        <v>3970</v>
      </c>
    </row>
    <row r="129" spans="2:12" ht="15" customHeight="1" x14ac:dyDescent="0.25">
      <c r="B129" s="193"/>
      <c r="C129" s="193"/>
      <c r="D129" s="193"/>
      <c r="E129" s="193"/>
      <c r="F129" s="193"/>
      <c r="G129" s="193" t="s">
        <v>327</v>
      </c>
      <c r="H129" s="194">
        <f>L126+L127</f>
        <v>179.9</v>
      </c>
      <c r="I129" s="193" t="s">
        <v>328</v>
      </c>
      <c r="J129" s="194">
        <v>0</v>
      </c>
      <c r="K129" s="193" t="s">
        <v>329</v>
      </c>
      <c r="L129" s="194"/>
    </row>
    <row r="130" spans="2:12" ht="15" customHeight="1" thickBot="1" x14ac:dyDescent="0.3">
      <c r="B130" s="193"/>
      <c r="C130" s="193"/>
      <c r="D130" s="193"/>
      <c r="E130" s="193"/>
      <c r="F130" s="193"/>
      <c r="G130" s="193" t="s">
        <v>330</v>
      </c>
      <c r="H130" s="194"/>
      <c r="I130" s="387"/>
      <c r="J130" s="387" t="s">
        <v>331</v>
      </c>
      <c r="K130" s="193"/>
      <c r="L130" s="194"/>
    </row>
    <row r="131" spans="2:12" ht="15" customHeight="1" thickTop="1" x14ac:dyDescent="0.25">
      <c r="B131" s="195"/>
      <c r="C131" s="195"/>
      <c r="D131" s="195"/>
      <c r="E131" s="195"/>
      <c r="F131" s="195"/>
      <c r="G131" s="195"/>
      <c r="H131" s="195"/>
      <c r="I131" s="195"/>
      <c r="J131" s="195"/>
      <c r="K131" s="195"/>
      <c r="L131" s="195"/>
    </row>
    <row r="132" spans="2:12" ht="15" customHeight="1" x14ac:dyDescent="0.25">
      <c r="B132" s="185" t="s">
        <v>1283</v>
      </c>
      <c r="C132" s="186" t="s">
        <v>28</v>
      </c>
      <c r="D132" s="185" t="s">
        <v>29</v>
      </c>
      <c r="E132" s="185" t="s">
        <v>30</v>
      </c>
      <c r="F132" s="388" t="s">
        <v>317</v>
      </c>
      <c r="G132" s="388"/>
      <c r="H132" s="187" t="s">
        <v>31</v>
      </c>
      <c r="I132" s="186" t="s">
        <v>32</v>
      </c>
      <c r="J132" s="186" t="s">
        <v>1178</v>
      </c>
      <c r="K132" s="186" t="s">
        <v>33</v>
      </c>
      <c r="L132" s="186" t="s">
        <v>35</v>
      </c>
    </row>
    <row r="133" spans="2:12" ht="15" customHeight="1" x14ac:dyDescent="0.25">
      <c r="B133" s="181" t="s">
        <v>318</v>
      </c>
      <c r="C133" s="182" t="s">
        <v>1494</v>
      </c>
      <c r="D133" s="181" t="s">
        <v>100</v>
      </c>
      <c r="E133" s="181" t="s">
        <v>1495</v>
      </c>
      <c r="F133" s="389" t="s">
        <v>389</v>
      </c>
      <c r="G133" s="389"/>
      <c r="H133" s="183" t="s">
        <v>44</v>
      </c>
      <c r="I133" s="253">
        <v>1</v>
      </c>
      <c r="J133" s="184"/>
      <c r="K133" s="184"/>
      <c r="L133" s="294">
        <f>SUM(L134:L138)</f>
        <v>347.34</v>
      </c>
    </row>
    <row r="134" spans="2:12" ht="15" customHeight="1" x14ac:dyDescent="0.25">
      <c r="B134" s="188" t="s">
        <v>319</v>
      </c>
      <c r="C134" s="189" t="s">
        <v>348</v>
      </c>
      <c r="D134" s="188" t="s">
        <v>40</v>
      </c>
      <c r="E134" s="188" t="s">
        <v>349</v>
      </c>
      <c r="F134" s="390" t="s">
        <v>322</v>
      </c>
      <c r="G134" s="390"/>
      <c r="H134" s="190" t="s">
        <v>323</v>
      </c>
      <c r="I134" s="191">
        <v>0.7</v>
      </c>
      <c r="J134" s="191">
        <v>0</v>
      </c>
      <c r="K134" s="192">
        <f>K127</f>
        <v>22.76</v>
      </c>
      <c r="L134" s="192">
        <f t="shared" ref="L134:L135" si="11">K134*I134</f>
        <v>15.93</v>
      </c>
    </row>
    <row r="135" spans="2:12" ht="15" customHeight="1" x14ac:dyDescent="0.25">
      <c r="B135" s="188" t="s">
        <v>319</v>
      </c>
      <c r="C135" s="189" t="s">
        <v>346</v>
      </c>
      <c r="D135" s="188" t="s">
        <v>40</v>
      </c>
      <c r="E135" s="188" t="s">
        <v>347</v>
      </c>
      <c r="F135" s="390" t="s">
        <v>322</v>
      </c>
      <c r="G135" s="390"/>
      <c r="H135" s="190" t="s">
        <v>323</v>
      </c>
      <c r="I135" s="191">
        <v>0.7</v>
      </c>
      <c r="J135" s="191">
        <v>0</v>
      </c>
      <c r="K135" s="192">
        <f>K126</f>
        <v>19.03</v>
      </c>
      <c r="L135" s="192">
        <f t="shared" si="11"/>
        <v>13.32</v>
      </c>
    </row>
    <row r="136" spans="2:12" ht="15" customHeight="1" x14ac:dyDescent="0.25">
      <c r="B136" s="196" t="s">
        <v>335</v>
      </c>
      <c r="C136" s="197" t="s">
        <v>1598</v>
      </c>
      <c r="D136" s="196" t="s">
        <v>40</v>
      </c>
      <c r="E136" s="196" t="s">
        <v>1599</v>
      </c>
      <c r="F136" s="386" t="s">
        <v>336</v>
      </c>
      <c r="G136" s="386"/>
      <c r="H136" s="198" t="s">
        <v>44</v>
      </c>
      <c r="I136" s="199">
        <v>1</v>
      </c>
      <c r="J136" s="199">
        <v>0</v>
      </c>
      <c r="K136" s="200">
        <v>274.27</v>
      </c>
      <c r="L136" s="200">
        <f t="shared" ref="L136:L138" si="12">K136*I136</f>
        <v>274.27</v>
      </c>
    </row>
    <row r="137" spans="2:12" ht="15" customHeight="1" x14ac:dyDescent="0.25">
      <c r="B137" s="196" t="s">
        <v>335</v>
      </c>
      <c r="C137" s="197" t="s">
        <v>751</v>
      </c>
      <c r="D137" s="196" t="s">
        <v>40</v>
      </c>
      <c r="E137" s="196" t="s">
        <v>752</v>
      </c>
      <c r="F137" s="386" t="s">
        <v>336</v>
      </c>
      <c r="G137" s="386"/>
      <c r="H137" s="198" t="s">
        <v>44</v>
      </c>
      <c r="I137" s="199">
        <v>2</v>
      </c>
      <c r="J137" s="199">
        <v>0</v>
      </c>
      <c r="K137" s="200">
        <v>20.87</v>
      </c>
      <c r="L137" s="200">
        <f t="shared" si="12"/>
        <v>41.74</v>
      </c>
    </row>
    <row r="138" spans="2:12" ht="15" customHeight="1" x14ac:dyDescent="0.25">
      <c r="B138" s="196" t="s">
        <v>335</v>
      </c>
      <c r="C138" s="197" t="s">
        <v>383</v>
      </c>
      <c r="D138" s="196" t="s">
        <v>40</v>
      </c>
      <c r="E138" s="196" t="s">
        <v>384</v>
      </c>
      <c r="F138" s="386" t="s">
        <v>336</v>
      </c>
      <c r="G138" s="386"/>
      <c r="H138" s="198" t="s">
        <v>44</v>
      </c>
      <c r="I138" s="199">
        <v>8.7499999999999994E-2</v>
      </c>
      <c r="J138" s="199">
        <v>0</v>
      </c>
      <c r="K138" s="200">
        <v>23.81</v>
      </c>
      <c r="L138" s="200">
        <f t="shared" si="12"/>
        <v>2.08</v>
      </c>
    </row>
    <row r="139" spans="2:12" ht="15" customHeight="1" x14ac:dyDescent="0.25">
      <c r="B139" s="193"/>
      <c r="C139" s="193"/>
      <c r="D139" s="193"/>
      <c r="E139" s="193"/>
      <c r="F139" s="193"/>
      <c r="G139" s="193" t="s">
        <v>327</v>
      </c>
      <c r="H139" s="194">
        <f>L134+L135</f>
        <v>29.25</v>
      </c>
      <c r="I139" s="193" t="s">
        <v>328</v>
      </c>
      <c r="J139" s="194">
        <v>0</v>
      </c>
      <c r="K139" s="193" t="s">
        <v>329</v>
      </c>
      <c r="L139" s="194"/>
    </row>
    <row r="140" spans="2:12" ht="15" customHeight="1" thickBot="1" x14ac:dyDescent="0.3">
      <c r="B140" s="193"/>
      <c r="C140" s="193"/>
      <c r="D140" s="193"/>
      <c r="E140" s="193"/>
      <c r="F140" s="193"/>
      <c r="G140" s="193" t="s">
        <v>330</v>
      </c>
      <c r="H140" s="194"/>
      <c r="I140" s="387"/>
      <c r="J140" s="387" t="s">
        <v>331</v>
      </c>
      <c r="K140" s="193"/>
      <c r="L140" s="194"/>
    </row>
    <row r="141" spans="2:12" ht="15" customHeight="1" thickTop="1" x14ac:dyDescent="0.25">
      <c r="B141" s="195"/>
      <c r="C141" s="195"/>
      <c r="D141" s="195"/>
      <c r="E141" s="195"/>
      <c r="F141" s="195"/>
      <c r="G141" s="195"/>
      <c r="H141" s="195"/>
      <c r="I141" s="195"/>
      <c r="J141" s="195"/>
      <c r="K141" s="195"/>
      <c r="L141" s="195"/>
    </row>
    <row r="142" spans="2:12" ht="15" customHeight="1" x14ac:dyDescent="0.25">
      <c r="B142" s="185" t="s">
        <v>1162</v>
      </c>
      <c r="C142" s="186" t="s">
        <v>28</v>
      </c>
      <c r="D142" s="185" t="s">
        <v>29</v>
      </c>
      <c r="E142" s="185" t="s">
        <v>30</v>
      </c>
      <c r="F142" s="388" t="s">
        <v>317</v>
      </c>
      <c r="G142" s="388"/>
      <c r="H142" s="187" t="s">
        <v>31</v>
      </c>
      <c r="I142" s="186" t="s">
        <v>32</v>
      </c>
      <c r="J142" s="186" t="s">
        <v>1178</v>
      </c>
      <c r="K142" s="186" t="s">
        <v>33</v>
      </c>
      <c r="L142" s="186" t="s">
        <v>35</v>
      </c>
    </row>
    <row r="143" spans="2:12" ht="15" customHeight="1" x14ac:dyDescent="0.25">
      <c r="B143" s="181" t="s">
        <v>318</v>
      </c>
      <c r="C143" s="182" t="s">
        <v>1437</v>
      </c>
      <c r="D143" s="181" t="s">
        <v>100</v>
      </c>
      <c r="E143" s="181" t="s">
        <v>1438</v>
      </c>
      <c r="F143" s="389" t="s">
        <v>1439</v>
      </c>
      <c r="G143" s="389"/>
      <c r="H143" s="183" t="s">
        <v>44</v>
      </c>
      <c r="I143" s="253">
        <v>1</v>
      </c>
      <c r="J143" s="184"/>
      <c r="K143" s="184"/>
      <c r="L143" s="294">
        <f>SUM(L144:L146)</f>
        <v>136.07</v>
      </c>
    </row>
    <row r="144" spans="2:12" ht="15" customHeight="1" x14ac:dyDescent="0.25">
      <c r="B144" s="188" t="s">
        <v>319</v>
      </c>
      <c r="C144" s="189" t="s">
        <v>350</v>
      </c>
      <c r="D144" s="188" t="s">
        <v>40</v>
      </c>
      <c r="E144" s="188" t="s">
        <v>351</v>
      </c>
      <c r="F144" s="390" t="s">
        <v>322</v>
      </c>
      <c r="G144" s="390"/>
      <c r="H144" s="190" t="s">
        <v>323</v>
      </c>
      <c r="I144" s="191">
        <v>0.25</v>
      </c>
      <c r="J144" s="191">
        <v>0</v>
      </c>
      <c r="K144" s="192">
        <v>23.84</v>
      </c>
      <c r="L144" s="192">
        <f t="shared" ref="L144" si="13">K144*I144</f>
        <v>5.96</v>
      </c>
    </row>
    <row r="145" spans="2:12" ht="15" customHeight="1" x14ac:dyDescent="0.25">
      <c r="B145" s="196" t="s">
        <v>335</v>
      </c>
      <c r="C145" s="197" t="s">
        <v>1440</v>
      </c>
      <c r="D145" s="196" t="s">
        <v>51</v>
      </c>
      <c r="E145" s="196" t="s">
        <v>1441</v>
      </c>
      <c r="F145" s="386" t="s">
        <v>336</v>
      </c>
      <c r="G145" s="386"/>
      <c r="H145" s="198" t="s">
        <v>44</v>
      </c>
      <c r="I145" s="199">
        <v>1</v>
      </c>
      <c r="J145" s="199">
        <v>0</v>
      </c>
      <c r="K145" s="200">
        <v>35</v>
      </c>
      <c r="L145" s="200">
        <f t="shared" ref="L145:L146" si="14">K145*I145</f>
        <v>35</v>
      </c>
    </row>
    <row r="146" spans="2:12" ht="15" customHeight="1" x14ac:dyDescent="0.25">
      <c r="B146" s="196" t="s">
        <v>335</v>
      </c>
      <c r="C146" s="197">
        <v>85001</v>
      </c>
      <c r="D146" s="196" t="s">
        <v>1442</v>
      </c>
      <c r="E146" s="196" t="s">
        <v>1443</v>
      </c>
      <c r="F146" s="386" t="s">
        <v>336</v>
      </c>
      <c r="G146" s="386"/>
      <c r="H146" s="198" t="s">
        <v>200</v>
      </c>
      <c r="I146" s="199">
        <v>1</v>
      </c>
      <c r="J146" s="199">
        <v>0</v>
      </c>
      <c r="K146" s="200">
        <v>95.11</v>
      </c>
      <c r="L146" s="200">
        <f t="shared" si="14"/>
        <v>95.11</v>
      </c>
    </row>
    <row r="147" spans="2:12" ht="15" customHeight="1" x14ac:dyDescent="0.25">
      <c r="B147" s="193"/>
      <c r="C147" s="193"/>
      <c r="D147" s="193"/>
      <c r="E147" s="193"/>
      <c r="F147" s="193"/>
      <c r="G147" s="193" t="s">
        <v>327</v>
      </c>
      <c r="H147" s="194">
        <f>L144</f>
        <v>5.96</v>
      </c>
      <c r="I147" s="193" t="s">
        <v>328</v>
      </c>
      <c r="J147" s="194">
        <v>0</v>
      </c>
      <c r="K147" s="193" t="s">
        <v>329</v>
      </c>
      <c r="L147" s="194"/>
    </row>
    <row r="148" spans="2:12" ht="15" customHeight="1" thickBot="1" x14ac:dyDescent="0.3">
      <c r="B148" s="193"/>
      <c r="C148" s="193"/>
      <c r="D148" s="193"/>
      <c r="E148" s="193"/>
      <c r="F148" s="193"/>
      <c r="G148" s="193" t="s">
        <v>330</v>
      </c>
      <c r="H148" s="194"/>
      <c r="I148" s="387"/>
      <c r="J148" s="387" t="s">
        <v>331</v>
      </c>
      <c r="K148" s="193"/>
      <c r="L148" s="194"/>
    </row>
    <row r="149" spans="2:12" ht="15" customHeight="1" thickTop="1" x14ac:dyDescent="0.25">
      <c r="B149" s="195"/>
      <c r="C149" s="195"/>
      <c r="D149" s="195"/>
      <c r="E149" s="195"/>
      <c r="F149" s="195"/>
      <c r="G149" s="195"/>
      <c r="H149" s="195"/>
      <c r="I149" s="195"/>
      <c r="J149" s="195"/>
      <c r="K149" s="195"/>
      <c r="L149" s="195"/>
    </row>
  </sheetData>
  <autoFilter ref="A16:X16" xr:uid="{00000000-0009-0000-0000-000004000000}"/>
  <mergeCells count="110">
    <mergeCell ref="B2:L6"/>
    <mergeCell ref="F96:G96"/>
    <mergeCell ref="F112:G112"/>
    <mergeCell ref="F128:G128"/>
    <mergeCell ref="F137:G137"/>
    <mergeCell ref="F138:G138"/>
    <mergeCell ref="F146:G146"/>
    <mergeCell ref="F105:G105"/>
    <mergeCell ref="F126:G126"/>
    <mergeCell ref="F127:G127"/>
    <mergeCell ref="I130:J130"/>
    <mergeCell ref="F134:G134"/>
    <mergeCell ref="F135:G135"/>
    <mergeCell ref="F142:G142"/>
    <mergeCell ref="F143:G143"/>
    <mergeCell ref="F144:G144"/>
    <mergeCell ref="F145:G145"/>
    <mergeCell ref="F98:G98"/>
    <mergeCell ref="F99:G99"/>
    <mergeCell ref="F64:G64"/>
    <mergeCell ref="F65:G65"/>
    <mergeCell ref="F66:G66"/>
    <mergeCell ref="F97:G97"/>
    <mergeCell ref="F108:G108"/>
    <mergeCell ref="B17:J17"/>
    <mergeCell ref="F58:G58"/>
    <mergeCell ref="F59:G59"/>
    <mergeCell ref="F55:G55"/>
    <mergeCell ref="F56:G56"/>
    <mergeCell ref="F57:G57"/>
    <mergeCell ref="F37:G37"/>
    <mergeCell ref="F47:G47"/>
    <mergeCell ref="F48:G48"/>
    <mergeCell ref="F49:G49"/>
    <mergeCell ref="F18:G18"/>
    <mergeCell ref="F19:G19"/>
    <mergeCell ref="F20:G20"/>
    <mergeCell ref="F21:G21"/>
    <mergeCell ref="F27:G27"/>
    <mergeCell ref="F28:G28"/>
    <mergeCell ref="F29:G29"/>
    <mergeCell ref="F30:G30"/>
    <mergeCell ref="F31:G31"/>
    <mergeCell ref="F32:G32"/>
    <mergeCell ref="F36:G36"/>
    <mergeCell ref="F43:G43"/>
    <mergeCell ref="F51:G51"/>
    <mergeCell ref="F133:G133"/>
    <mergeCell ref="F132:G132"/>
    <mergeCell ref="F106:G106"/>
    <mergeCell ref="F107:G107"/>
    <mergeCell ref="F91:G91"/>
    <mergeCell ref="F60:G60"/>
    <mergeCell ref="F75:G75"/>
    <mergeCell ref="F76:G76"/>
    <mergeCell ref="F77:G77"/>
    <mergeCell ref="F78:G78"/>
    <mergeCell ref="F79:G79"/>
    <mergeCell ref="F80:G80"/>
    <mergeCell ref="F81:G81"/>
    <mergeCell ref="F61:G61"/>
    <mergeCell ref="F62:G62"/>
    <mergeCell ref="F88:G88"/>
    <mergeCell ref="F100:G100"/>
    <mergeCell ref="F101:G101"/>
    <mergeCell ref="F120:G120"/>
    <mergeCell ref="F124:G124"/>
    <mergeCell ref="F82:G82"/>
    <mergeCell ref="F89:G89"/>
    <mergeCell ref="F92:G92"/>
    <mergeCell ref="F118:G118"/>
    <mergeCell ref="F119:G119"/>
    <mergeCell ref="F63:G63"/>
    <mergeCell ref="F67:G67"/>
    <mergeCell ref="F38:G38"/>
    <mergeCell ref="F39:G39"/>
    <mergeCell ref="F40:G40"/>
    <mergeCell ref="F41:G41"/>
    <mergeCell ref="F42:G42"/>
    <mergeCell ref="F50:G50"/>
    <mergeCell ref="F116:G116"/>
    <mergeCell ref="F117:G117"/>
    <mergeCell ref="F71:G71"/>
    <mergeCell ref="F72:G72"/>
    <mergeCell ref="F73:G73"/>
    <mergeCell ref="F74:G74"/>
    <mergeCell ref="F136:G136"/>
    <mergeCell ref="I140:J140"/>
    <mergeCell ref="I148:J148"/>
    <mergeCell ref="I23:J23"/>
    <mergeCell ref="F25:G25"/>
    <mergeCell ref="F26:G26"/>
    <mergeCell ref="I34:J34"/>
    <mergeCell ref="I45:J45"/>
    <mergeCell ref="I53:J53"/>
    <mergeCell ref="I69:J69"/>
    <mergeCell ref="F83:G83"/>
    <mergeCell ref="F84:G84"/>
    <mergeCell ref="I86:J86"/>
    <mergeCell ref="F90:G90"/>
    <mergeCell ref="F93:G93"/>
    <mergeCell ref="F94:G94"/>
    <mergeCell ref="F95:G95"/>
    <mergeCell ref="I103:J103"/>
    <mergeCell ref="F109:G109"/>
    <mergeCell ref="F110:G110"/>
    <mergeCell ref="F111:G111"/>
    <mergeCell ref="I114:J114"/>
    <mergeCell ref="I122:J122"/>
    <mergeCell ref="F125:G125"/>
  </mergeCells>
  <printOptions horizontalCentered="1"/>
  <pageMargins left="0.7" right="0.7" top="0.75" bottom="0.75" header="0.3" footer="0.3"/>
  <pageSetup paperSize="9" scale="49" fitToHeight="0" orientation="landscape" r:id="rId1"/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D8D8D8"/>
    <pageSetUpPr fitToPage="1"/>
  </sheetPr>
  <dimension ref="A1:Z1007"/>
  <sheetViews>
    <sheetView workbookViewId="0"/>
  </sheetViews>
  <sheetFormatPr defaultColWidth="12.59765625" defaultRowHeight="15" customHeight="1" x14ac:dyDescent="0.25"/>
  <cols>
    <col min="1" max="1" width="3.19921875" customWidth="1"/>
    <col min="2" max="2" width="18.59765625" customWidth="1"/>
    <col min="3" max="3" width="63.09765625" customWidth="1"/>
    <col min="4" max="4" width="18.59765625" customWidth="1"/>
    <col min="5" max="6" width="33.09765625" customWidth="1"/>
    <col min="7" max="7" width="3.19921875" customWidth="1"/>
    <col min="8" max="26" width="13" customWidth="1"/>
  </cols>
  <sheetData>
    <row r="1" spans="1:26" ht="20.25" customHeight="1" x14ac:dyDescent="0.25">
      <c r="A1" s="146"/>
      <c r="B1" s="4"/>
      <c r="C1" s="4"/>
      <c r="D1" s="4"/>
      <c r="E1" s="4"/>
      <c r="F1" s="4"/>
      <c r="G1" s="4"/>
      <c r="H1" s="146"/>
      <c r="I1" s="146"/>
      <c r="J1" s="146"/>
      <c r="K1" s="146"/>
      <c r="L1" s="146"/>
      <c r="M1" s="146"/>
      <c r="N1" s="146"/>
      <c r="O1" s="146"/>
      <c r="P1" s="146"/>
      <c r="Q1" s="146"/>
      <c r="R1" s="146"/>
      <c r="S1" s="146"/>
      <c r="T1" s="146"/>
      <c r="U1" s="146"/>
      <c r="V1" s="146"/>
      <c r="W1" s="146"/>
      <c r="X1" s="146"/>
      <c r="Y1" s="146"/>
      <c r="Z1" s="146"/>
    </row>
    <row r="2" spans="1:26" ht="18.75" customHeight="1" x14ac:dyDescent="0.25">
      <c r="A2" s="46"/>
      <c r="B2" s="327" t="s">
        <v>399</v>
      </c>
      <c r="C2" s="328"/>
      <c r="D2" s="328"/>
      <c r="E2" s="328"/>
      <c r="F2" s="329"/>
      <c r="G2" s="46"/>
      <c r="H2" s="47"/>
      <c r="I2" s="46"/>
      <c r="J2" s="46"/>
      <c r="K2" s="46"/>
      <c r="L2" s="46"/>
      <c r="M2" s="46"/>
      <c r="N2" s="46"/>
      <c r="O2" s="46"/>
      <c r="P2" s="46"/>
      <c r="Q2" s="46"/>
      <c r="R2" s="46"/>
      <c r="S2" s="46"/>
      <c r="T2" s="46"/>
      <c r="U2" s="46"/>
      <c r="V2" s="44"/>
      <c r="W2" s="44"/>
      <c r="X2" s="44"/>
      <c r="Y2" s="44"/>
      <c r="Z2" s="1"/>
    </row>
    <row r="3" spans="1:26" ht="18.75" customHeight="1" x14ac:dyDescent="0.25">
      <c r="A3" s="46"/>
      <c r="B3" s="330"/>
      <c r="C3" s="331"/>
      <c r="D3" s="331"/>
      <c r="E3" s="331"/>
      <c r="F3" s="332"/>
      <c r="G3" s="46"/>
      <c r="H3" s="47"/>
      <c r="I3" s="46"/>
      <c r="J3" s="46"/>
      <c r="K3" s="46"/>
      <c r="L3" s="46"/>
      <c r="M3" s="46"/>
      <c r="N3" s="46"/>
      <c r="O3" s="46"/>
      <c r="P3" s="46"/>
      <c r="Q3" s="46"/>
      <c r="R3" s="46"/>
      <c r="S3" s="46"/>
      <c r="T3" s="46"/>
      <c r="U3" s="46"/>
      <c r="V3" s="44"/>
      <c r="W3" s="44"/>
      <c r="X3" s="44"/>
      <c r="Y3" s="44"/>
      <c r="Z3" s="1"/>
    </row>
    <row r="4" spans="1:26" ht="18.75" customHeight="1" x14ac:dyDescent="0.25">
      <c r="A4" s="46"/>
      <c r="B4" s="330"/>
      <c r="C4" s="331"/>
      <c r="D4" s="331"/>
      <c r="E4" s="331"/>
      <c r="F4" s="332"/>
      <c r="G4" s="46"/>
      <c r="H4" s="47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4"/>
      <c r="W4" s="44"/>
      <c r="X4" s="44"/>
      <c r="Y4" s="44"/>
      <c r="Z4" s="1"/>
    </row>
    <row r="5" spans="1:26" ht="18.75" customHeight="1" x14ac:dyDescent="0.25">
      <c r="A5" s="46"/>
      <c r="B5" s="330"/>
      <c r="C5" s="331"/>
      <c r="D5" s="331"/>
      <c r="E5" s="331"/>
      <c r="F5" s="332"/>
      <c r="G5" s="46"/>
      <c r="H5" s="47"/>
      <c r="I5" s="46"/>
      <c r="J5" s="46"/>
      <c r="K5" s="46"/>
      <c r="L5" s="46"/>
      <c r="M5" s="46"/>
      <c r="N5" s="46"/>
      <c r="O5" s="46"/>
      <c r="P5" s="46"/>
      <c r="Q5" s="46"/>
      <c r="R5" s="46"/>
      <c r="S5" s="46"/>
      <c r="T5" s="46"/>
      <c r="U5" s="46"/>
      <c r="V5" s="44"/>
      <c r="W5" s="44"/>
      <c r="X5" s="44"/>
      <c r="Y5" s="44"/>
      <c r="Z5" s="1"/>
    </row>
    <row r="6" spans="1:26" ht="18.75" customHeight="1" x14ac:dyDescent="0.25">
      <c r="A6" s="46"/>
      <c r="B6" s="333"/>
      <c r="C6" s="334"/>
      <c r="D6" s="334"/>
      <c r="E6" s="334"/>
      <c r="F6" s="335"/>
      <c r="G6" s="46"/>
      <c r="H6" s="47"/>
      <c r="I6" s="46"/>
      <c r="J6" s="46"/>
      <c r="K6" s="46"/>
      <c r="L6" s="46"/>
      <c r="M6" s="46"/>
      <c r="N6" s="46"/>
      <c r="O6" s="46"/>
      <c r="P6" s="46"/>
      <c r="Q6" s="46"/>
      <c r="R6" s="46"/>
      <c r="S6" s="46"/>
      <c r="T6" s="46"/>
      <c r="U6" s="46"/>
      <c r="V6" s="44"/>
      <c r="W6" s="44"/>
      <c r="X6" s="44"/>
      <c r="Y6" s="44"/>
      <c r="Z6" s="1"/>
    </row>
    <row r="7" spans="1:26" ht="15" customHeight="1" x14ac:dyDescent="0.25">
      <c r="A7" s="48"/>
      <c r="B7" s="4"/>
      <c r="C7" s="4"/>
      <c r="D7" s="4"/>
      <c r="E7" s="4"/>
      <c r="F7" s="4"/>
      <c r="G7" s="48"/>
      <c r="H7" s="49"/>
      <c r="I7" s="48"/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1"/>
    </row>
    <row r="8" spans="1:26" ht="15" customHeight="1" x14ac:dyDescent="0.25">
      <c r="A8" s="48"/>
      <c r="B8" s="50" t="str">
        <f>'DADOS GERAIS'!B8</f>
        <v>Secretaria de Atenção Especializada à Saúde</v>
      </c>
      <c r="C8" s="51"/>
      <c r="D8" s="52" t="s">
        <v>16</v>
      </c>
      <c r="E8" s="52" t="s">
        <v>17</v>
      </c>
      <c r="F8" s="53" t="str">
        <f>'DADOS GERAIS'!$B$22</f>
        <v>Data:</v>
      </c>
      <c r="G8" s="48"/>
      <c r="H8" s="49"/>
      <c r="I8" s="48"/>
      <c r="J8" s="48"/>
      <c r="K8" s="48"/>
      <c r="L8" s="48"/>
      <c r="M8" s="48"/>
      <c r="N8" s="48"/>
      <c r="O8" s="48"/>
      <c r="P8" s="48"/>
      <c r="Q8" s="48"/>
      <c r="R8" s="48"/>
      <c r="S8" s="48"/>
      <c r="T8" s="48"/>
      <c r="U8" s="48"/>
      <c r="V8" s="48"/>
      <c r="W8" s="48"/>
      <c r="X8" s="48"/>
      <c r="Y8" s="48"/>
      <c r="Z8" s="1"/>
    </row>
    <row r="9" spans="1:26" ht="15" customHeight="1" x14ac:dyDescent="0.25">
      <c r="A9" s="48"/>
      <c r="B9" s="54" t="str">
        <f>'DADOS GERAIS'!B9</f>
        <v>Unidade Básica de Saúde Porte 2 - Área Construída: 500,17m²</v>
      </c>
      <c r="C9" s="55"/>
      <c r="D9" s="56">
        <f>'DADOS GERAIS'!C19</f>
        <v>0.26869999999999999</v>
      </c>
      <c r="E9" s="56">
        <f>'ENCARGOS SOCIAIS'!F56</f>
        <v>0.47739999999999999</v>
      </c>
      <c r="F9" s="57" t="str">
        <f>'DADOS GERAIS'!$C$22</f>
        <v>02/2025</v>
      </c>
      <c r="G9" s="48"/>
      <c r="H9" s="49"/>
      <c r="I9" s="48"/>
      <c r="J9" s="48"/>
      <c r="K9" s="48"/>
      <c r="L9" s="48"/>
      <c r="M9" s="48"/>
      <c r="N9" s="48"/>
      <c r="O9" s="48"/>
      <c r="P9" s="48"/>
      <c r="Q9" s="48"/>
      <c r="R9" s="48"/>
      <c r="S9" s="48"/>
      <c r="T9" s="48"/>
      <c r="U9" s="48"/>
      <c r="V9" s="48"/>
      <c r="W9" s="48"/>
      <c r="X9" s="48"/>
      <c r="Y9" s="48"/>
      <c r="Z9" s="1"/>
    </row>
    <row r="10" spans="1:26" ht="15" customHeight="1" x14ac:dyDescent="0.25">
      <c r="A10" s="48"/>
      <c r="B10" s="58"/>
      <c r="C10" s="55"/>
      <c r="D10" s="1"/>
      <c r="E10" s="1"/>
      <c r="F10" s="59"/>
      <c r="G10" s="48"/>
      <c r="H10" s="49"/>
      <c r="I10" s="48"/>
      <c r="J10" s="48"/>
      <c r="K10" s="48"/>
      <c r="L10" s="48"/>
      <c r="M10" s="48"/>
      <c r="N10" s="48"/>
      <c r="O10" s="48"/>
      <c r="P10" s="48"/>
      <c r="Q10" s="48"/>
      <c r="R10" s="48"/>
      <c r="S10" s="48"/>
      <c r="T10" s="48"/>
      <c r="U10" s="48"/>
      <c r="V10" s="48"/>
      <c r="W10" s="48"/>
      <c r="X10" s="48"/>
      <c r="Y10" s="48"/>
      <c r="Z10" s="1"/>
    </row>
    <row r="11" spans="1:26" ht="15" customHeight="1" x14ac:dyDescent="0.25">
      <c r="A11" s="48"/>
      <c r="B11" s="60" t="str">
        <f>'DADOS GERAIS'!B11</f>
        <v>Bancos:</v>
      </c>
      <c r="C11" s="55"/>
      <c r="D11" s="61" t="s">
        <v>18</v>
      </c>
      <c r="E11" s="61" t="s">
        <v>19</v>
      </c>
      <c r="F11" s="59" t="str">
        <f>'DADOS GERAIS'!$B$23</f>
        <v>Revisão:</v>
      </c>
      <c r="G11" s="48"/>
      <c r="H11" s="49"/>
      <c r="I11" s="48"/>
      <c r="J11" s="48"/>
      <c r="K11" s="48"/>
      <c r="L11" s="48"/>
      <c r="M11" s="48"/>
      <c r="N11" s="48"/>
      <c r="O11" s="48"/>
      <c r="P11" s="48"/>
      <c r="Q11" s="48"/>
      <c r="R11" s="48"/>
      <c r="S11" s="48"/>
      <c r="T11" s="48"/>
      <c r="U11" s="48"/>
      <c r="V11" s="48"/>
      <c r="W11" s="48"/>
      <c r="X11" s="48"/>
      <c r="Y11" s="48"/>
      <c r="Z11" s="1"/>
    </row>
    <row r="12" spans="1:26" ht="15" customHeight="1" x14ac:dyDescent="0.25">
      <c r="A12" s="48"/>
      <c r="B12" s="347" t="str">
        <f>'DADOS GERAIS'!B12</f>
        <v>SINAPI (12/2024) - CPOS/CDHU (09/2024) - SBC (12/2024) - ORSE (12/2024) - IOPES (03/2024) - EMOP (12/2024) - SEINFRA 027 (DESONERADO)</v>
      </c>
      <c r="C12" s="348"/>
      <c r="D12" s="56">
        <f>'DADOS GERAIS'!C20</f>
        <v>0.19070000000000001</v>
      </c>
      <c r="E12" s="56">
        <f>'ENCARGOS SOCIAIS'!E56</f>
        <v>0.85799999999999998</v>
      </c>
      <c r="F12" s="62" t="str">
        <f>'DADOS GERAIS'!$C$23</f>
        <v>01</v>
      </c>
      <c r="G12" s="48"/>
      <c r="H12" s="49"/>
      <c r="I12" s="48"/>
      <c r="J12" s="48"/>
      <c r="K12" s="48"/>
      <c r="L12" s="48"/>
      <c r="M12" s="48"/>
      <c r="N12" s="48"/>
      <c r="O12" s="48"/>
      <c r="P12" s="48"/>
      <c r="Q12" s="48"/>
      <c r="R12" s="48"/>
      <c r="S12" s="48"/>
      <c r="T12" s="48"/>
      <c r="U12" s="48"/>
      <c r="V12" s="48"/>
      <c r="W12" s="48"/>
      <c r="X12" s="48"/>
      <c r="Y12" s="48"/>
      <c r="Z12" s="1"/>
    </row>
    <row r="13" spans="1:26" ht="15" customHeight="1" x14ac:dyDescent="0.25">
      <c r="A13" s="48"/>
      <c r="B13" s="349"/>
      <c r="C13" s="350"/>
      <c r="D13" s="63"/>
      <c r="E13" s="63"/>
      <c r="F13" s="64"/>
      <c r="G13" s="48"/>
      <c r="H13" s="49"/>
      <c r="I13" s="48"/>
      <c r="J13" s="48"/>
      <c r="K13" s="48"/>
      <c r="L13" s="48"/>
      <c r="M13" s="48"/>
      <c r="N13" s="48"/>
      <c r="O13" s="48"/>
      <c r="P13" s="48"/>
      <c r="Q13" s="48"/>
      <c r="R13" s="48"/>
      <c r="S13" s="48"/>
      <c r="T13" s="48"/>
      <c r="U13" s="48"/>
      <c r="V13" s="48"/>
      <c r="W13" s="48"/>
      <c r="X13" s="48"/>
      <c r="Y13" s="48"/>
      <c r="Z13" s="1"/>
    </row>
    <row r="14" spans="1:26" ht="15" customHeight="1" x14ac:dyDescent="0.25">
      <c r="A14" s="48"/>
      <c r="B14" s="4"/>
      <c r="C14" s="4"/>
      <c r="D14" s="4"/>
      <c r="E14" s="4"/>
      <c r="F14" s="4"/>
      <c r="G14" s="48"/>
      <c r="H14" s="49"/>
      <c r="I14" s="48"/>
      <c r="J14" s="48"/>
      <c r="K14" s="48"/>
      <c r="L14" s="48"/>
      <c r="M14" s="48"/>
      <c r="N14" s="48"/>
      <c r="O14" s="48"/>
      <c r="P14" s="48"/>
      <c r="Q14" s="48"/>
      <c r="R14" s="48"/>
      <c r="S14" s="48"/>
      <c r="T14" s="48"/>
      <c r="U14" s="48"/>
      <c r="V14" s="48"/>
      <c r="W14" s="48"/>
      <c r="X14" s="48"/>
      <c r="Y14" s="48"/>
      <c r="Z14" s="1"/>
    </row>
    <row r="15" spans="1:26" ht="20.25" customHeight="1" x14ac:dyDescent="0.25">
      <c r="A15" s="4"/>
      <c r="B15" s="147" t="s">
        <v>400</v>
      </c>
      <c r="C15" s="148"/>
      <c r="D15" s="148"/>
      <c r="E15" s="148"/>
      <c r="F15" s="149"/>
      <c r="G15" s="4"/>
      <c r="H15" s="146"/>
      <c r="I15" s="146"/>
      <c r="J15" s="146"/>
      <c r="K15" s="146"/>
      <c r="L15" s="146"/>
      <c r="M15" s="146"/>
      <c r="N15" s="146"/>
      <c r="O15" s="146"/>
      <c r="P15" s="146"/>
      <c r="Q15" s="146"/>
      <c r="R15" s="146"/>
      <c r="S15" s="146"/>
      <c r="T15" s="146"/>
      <c r="U15" s="146"/>
      <c r="V15" s="146"/>
      <c r="W15" s="146"/>
      <c r="X15" s="146"/>
      <c r="Y15" s="146"/>
      <c r="Z15" s="146"/>
    </row>
    <row r="16" spans="1:26" ht="20.25" customHeight="1" x14ac:dyDescent="0.25">
      <c r="A16" s="4"/>
      <c r="B16" s="150"/>
      <c r="C16" s="151"/>
      <c r="D16" s="151"/>
      <c r="E16" s="151"/>
      <c r="F16" s="152"/>
      <c r="G16" s="4"/>
      <c r="H16" s="146"/>
      <c r="I16" s="146"/>
      <c r="J16" s="146"/>
      <c r="K16" s="146"/>
      <c r="L16" s="146"/>
      <c r="M16" s="146"/>
      <c r="N16" s="146"/>
      <c r="O16" s="146"/>
      <c r="P16" s="146"/>
      <c r="Q16" s="146"/>
      <c r="R16" s="146"/>
      <c r="S16" s="146"/>
      <c r="T16" s="146"/>
      <c r="U16" s="146"/>
      <c r="V16" s="146"/>
      <c r="W16" s="146"/>
      <c r="X16" s="146"/>
      <c r="Y16" s="146"/>
      <c r="Z16" s="146"/>
    </row>
    <row r="17" spans="1:26" ht="20.25" customHeight="1" x14ac:dyDescent="0.25">
      <c r="A17" s="4"/>
      <c r="B17" s="150"/>
      <c r="C17" s="151"/>
      <c r="D17" s="151"/>
      <c r="E17" s="151"/>
      <c r="F17" s="152"/>
      <c r="G17" s="4"/>
      <c r="H17" s="146"/>
      <c r="I17" s="146"/>
      <c r="J17" s="146"/>
      <c r="K17" s="146"/>
      <c r="L17" s="146"/>
      <c r="M17" s="146"/>
      <c r="N17" s="146"/>
      <c r="O17" s="146"/>
      <c r="P17" s="146"/>
      <c r="Q17" s="146"/>
      <c r="R17" s="146"/>
      <c r="S17" s="146"/>
      <c r="T17" s="146"/>
      <c r="U17" s="146"/>
      <c r="V17" s="146"/>
      <c r="W17" s="146"/>
      <c r="X17" s="146"/>
      <c r="Y17" s="146"/>
      <c r="Z17" s="146"/>
    </row>
    <row r="18" spans="1:26" ht="20.25" customHeight="1" x14ac:dyDescent="0.25">
      <c r="A18" s="4"/>
      <c r="B18" s="150"/>
      <c r="C18" s="151"/>
      <c r="D18" s="151"/>
      <c r="E18" s="151"/>
      <c r="F18" s="152"/>
      <c r="G18" s="4"/>
      <c r="H18" s="146"/>
      <c r="I18" s="146"/>
      <c r="J18" s="146"/>
      <c r="K18" s="146"/>
      <c r="L18" s="146"/>
      <c r="M18" s="146"/>
      <c r="N18" s="146"/>
      <c r="O18" s="146"/>
      <c r="P18" s="146"/>
      <c r="Q18" s="146"/>
      <c r="R18" s="146"/>
      <c r="S18" s="146"/>
      <c r="T18" s="146"/>
      <c r="U18" s="146"/>
      <c r="V18" s="146"/>
      <c r="W18" s="146"/>
      <c r="X18" s="146"/>
      <c r="Y18" s="146"/>
      <c r="Z18" s="146"/>
    </row>
    <row r="19" spans="1:26" ht="20.25" customHeight="1" x14ac:dyDescent="0.25">
      <c r="A19" s="4"/>
      <c r="B19" s="150"/>
      <c r="C19" s="151"/>
      <c r="D19" s="151"/>
      <c r="E19" s="151"/>
      <c r="F19" s="152"/>
      <c r="G19" s="4"/>
      <c r="H19" s="146"/>
      <c r="I19" s="146"/>
      <c r="J19" s="146"/>
      <c r="K19" s="146"/>
      <c r="L19" s="146"/>
      <c r="M19" s="146"/>
      <c r="N19" s="146"/>
      <c r="O19" s="146"/>
      <c r="P19" s="146"/>
      <c r="Q19" s="146"/>
      <c r="R19" s="146"/>
      <c r="S19" s="146"/>
      <c r="T19" s="146"/>
      <c r="U19" s="146"/>
      <c r="V19" s="146"/>
      <c r="W19" s="146"/>
      <c r="X19" s="146"/>
      <c r="Y19" s="146"/>
      <c r="Z19" s="146"/>
    </row>
    <row r="20" spans="1:26" ht="20.25" customHeight="1" x14ac:dyDescent="0.25">
      <c r="A20" s="4"/>
      <c r="B20" s="153"/>
      <c r="C20" s="154"/>
      <c r="D20" s="154"/>
      <c r="E20" s="154"/>
      <c r="F20" s="155"/>
      <c r="G20" s="4"/>
      <c r="H20" s="146"/>
      <c r="I20" s="146"/>
      <c r="J20" s="146"/>
      <c r="K20" s="146"/>
      <c r="L20" s="146"/>
      <c r="M20" s="146"/>
      <c r="N20" s="146"/>
      <c r="O20" s="146"/>
      <c r="P20" s="146"/>
      <c r="Q20" s="146"/>
      <c r="R20" s="146"/>
      <c r="S20" s="146"/>
      <c r="T20" s="146"/>
      <c r="U20" s="146"/>
      <c r="V20" s="146"/>
      <c r="W20" s="146"/>
      <c r="X20" s="146"/>
      <c r="Y20" s="146"/>
      <c r="Z20" s="146"/>
    </row>
    <row r="21" spans="1:26" ht="15" customHeight="1" x14ac:dyDescent="0.25">
      <c r="A21" s="48"/>
      <c r="B21" s="4"/>
      <c r="C21" s="4"/>
      <c r="D21" s="4"/>
      <c r="E21" s="4"/>
      <c r="F21" s="4"/>
      <c r="G21" s="48"/>
      <c r="H21" s="49"/>
      <c r="I21" s="48"/>
      <c r="J21" s="48"/>
      <c r="K21" s="48"/>
      <c r="L21" s="48"/>
      <c r="M21" s="48"/>
      <c r="N21" s="48"/>
      <c r="O21" s="48"/>
      <c r="P21" s="48"/>
      <c r="Q21" s="48"/>
      <c r="R21" s="48"/>
      <c r="S21" s="48"/>
      <c r="T21" s="48"/>
      <c r="U21" s="48"/>
      <c r="V21" s="48"/>
      <c r="W21" s="48"/>
      <c r="X21" s="48"/>
      <c r="Y21" s="48"/>
      <c r="Z21" s="1"/>
    </row>
    <row r="22" spans="1:26" ht="20.25" customHeight="1" x14ac:dyDescent="0.25">
      <c r="A22" s="4"/>
      <c r="B22" s="404" t="s">
        <v>20</v>
      </c>
      <c r="C22" s="404" t="s">
        <v>21</v>
      </c>
      <c r="D22" s="404" t="s">
        <v>401</v>
      </c>
      <c r="E22" s="406" t="s">
        <v>402</v>
      </c>
      <c r="F22" s="406" t="s">
        <v>403</v>
      </c>
      <c r="G22" s="4"/>
      <c r="H22" s="146"/>
      <c r="I22" s="146"/>
      <c r="J22" s="146"/>
      <c r="K22" s="146"/>
      <c r="L22" s="146"/>
      <c r="M22" s="146"/>
      <c r="N22" s="146"/>
      <c r="O22" s="146"/>
      <c r="P22" s="146"/>
      <c r="Q22" s="146"/>
      <c r="R22" s="146"/>
      <c r="S22" s="146"/>
      <c r="T22" s="146"/>
      <c r="U22" s="146"/>
      <c r="V22" s="146"/>
      <c r="W22" s="146"/>
      <c r="X22" s="146"/>
      <c r="Y22" s="146"/>
      <c r="Z22" s="146"/>
    </row>
    <row r="23" spans="1:26" ht="20.25" customHeight="1" x14ac:dyDescent="0.25">
      <c r="A23" s="4"/>
      <c r="B23" s="405"/>
      <c r="C23" s="405"/>
      <c r="D23" s="405"/>
      <c r="E23" s="405"/>
      <c r="F23" s="405"/>
      <c r="G23" s="4"/>
      <c r="H23" s="146"/>
      <c r="I23" s="146"/>
      <c r="J23" s="146"/>
      <c r="K23" s="146"/>
      <c r="L23" s="146"/>
      <c r="M23" s="146"/>
      <c r="N23" s="146"/>
      <c r="O23" s="146"/>
      <c r="P23" s="146"/>
      <c r="Q23" s="146"/>
      <c r="R23" s="146"/>
      <c r="S23" s="146"/>
      <c r="T23" s="146"/>
      <c r="U23" s="146"/>
      <c r="V23" s="146"/>
      <c r="W23" s="146"/>
      <c r="X23" s="146"/>
      <c r="Y23" s="146"/>
      <c r="Z23" s="146"/>
    </row>
    <row r="24" spans="1:26" ht="15" customHeight="1" x14ac:dyDescent="0.25">
      <c r="A24" s="48"/>
      <c r="B24" s="4"/>
      <c r="C24" s="4"/>
      <c r="D24" s="4"/>
      <c r="E24" s="4"/>
      <c r="F24" s="4"/>
      <c r="G24" s="48"/>
      <c r="H24" s="49"/>
      <c r="I24" s="48"/>
      <c r="J24" s="48"/>
      <c r="K24" s="48"/>
      <c r="L24" s="48"/>
      <c r="M24" s="48"/>
      <c r="N24" s="48"/>
      <c r="O24" s="48"/>
      <c r="P24" s="48"/>
      <c r="Q24" s="48"/>
      <c r="R24" s="48"/>
      <c r="S24" s="48"/>
      <c r="T24" s="48"/>
      <c r="U24" s="48"/>
      <c r="V24" s="48"/>
      <c r="W24" s="48"/>
      <c r="X24" s="48"/>
      <c r="Y24" s="48"/>
      <c r="Z24" s="1"/>
    </row>
    <row r="25" spans="1:26" ht="20.25" customHeight="1" x14ac:dyDescent="0.25">
      <c r="A25" s="4"/>
      <c r="B25" s="156">
        <v>1</v>
      </c>
      <c r="C25" s="157" t="s">
        <v>404</v>
      </c>
      <c r="D25" s="156" t="s">
        <v>405</v>
      </c>
      <c r="E25" s="216">
        <v>0.04</v>
      </c>
      <c r="F25" s="216">
        <v>3.4500000000000003E-2</v>
      </c>
      <c r="G25" s="4"/>
      <c r="H25" s="146"/>
      <c r="I25" s="146"/>
      <c r="J25" s="146"/>
      <c r="K25" s="146"/>
      <c r="L25" s="146"/>
      <c r="M25" s="146"/>
      <c r="N25" s="146"/>
      <c r="O25" s="146"/>
      <c r="P25" s="146"/>
      <c r="Q25" s="146"/>
      <c r="R25" s="146"/>
      <c r="S25" s="146"/>
      <c r="T25" s="146"/>
      <c r="U25" s="146"/>
      <c r="V25" s="146"/>
      <c r="W25" s="146"/>
      <c r="X25" s="146"/>
      <c r="Y25" s="146"/>
      <c r="Z25" s="146"/>
    </row>
    <row r="26" spans="1:26" ht="20.25" customHeight="1" x14ac:dyDescent="0.25">
      <c r="A26" s="4"/>
      <c r="B26" s="158">
        <v>2</v>
      </c>
      <c r="C26" s="159" t="s">
        <v>406</v>
      </c>
      <c r="D26" s="158" t="s">
        <v>407</v>
      </c>
      <c r="E26" s="160">
        <v>1.2699999999999999E-2</v>
      </c>
      <c r="F26" s="160">
        <v>8.5000000000000006E-3</v>
      </c>
      <c r="G26" s="4"/>
      <c r="H26" s="146"/>
      <c r="I26" s="146"/>
      <c r="J26" s="146"/>
      <c r="K26" s="146"/>
      <c r="L26" s="146"/>
      <c r="M26" s="146"/>
      <c r="N26" s="146"/>
      <c r="O26" s="146"/>
      <c r="P26" s="146"/>
      <c r="Q26" s="146"/>
      <c r="R26" s="146"/>
      <c r="S26" s="146"/>
      <c r="T26" s="146"/>
      <c r="U26" s="146"/>
      <c r="V26" s="146"/>
      <c r="W26" s="146"/>
      <c r="X26" s="146"/>
      <c r="Y26" s="146"/>
      <c r="Z26" s="146"/>
    </row>
    <row r="27" spans="1:26" ht="20.25" customHeight="1" x14ac:dyDescent="0.25">
      <c r="A27" s="4"/>
      <c r="B27" s="158">
        <v>3</v>
      </c>
      <c r="C27" s="159" t="s">
        <v>408</v>
      </c>
      <c r="D27" s="158" t="s">
        <v>409</v>
      </c>
      <c r="E27" s="160">
        <v>8.0000000000000002E-3</v>
      </c>
      <c r="F27" s="160">
        <v>4.7999999999999996E-3</v>
      </c>
      <c r="G27" s="4"/>
      <c r="H27" s="146"/>
      <c r="I27" s="146"/>
      <c r="J27" s="146"/>
      <c r="K27" s="146"/>
      <c r="L27" s="146"/>
      <c r="M27" s="146"/>
      <c r="N27" s="146"/>
      <c r="O27" s="146"/>
      <c r="P27" s="146"/>
      <c r="Q27" s="146"/>
      <c r="R27" s="146"/>
      <c r="S27" s="146"/>
      <c r="T27" s="146"/>
      <c r="U27" s="146"/>
      <c r="V27" s="146"/>
      <c r="W27" s="146"/>
      <c r="X27" s="146"/>
      <c r="Y27" s="146"/>
      <c r="Z27" s="146"/>
    </row>
    <row r="28" spans="1:26" ht="20.25" customHeight="1" x14ac:dyDescent="0.25">
      <c r="A28" s="4"/>
      <c r="B28" s="158">
        <v>4</v>
      </c>
      <c r="C28" s="159" t="s">
        <v>410</v>
      </c>
      <c r="D28" s="158" t="s">
        <v>411</v>
      </c>
      <c r="E28" s="160">
        <v>1.23E-2</v>
      </c>
      <c r="F28" s="160">
        <v>8.5000000000000006E-3</v>
      </c>
      <c r="G28" s="4"/>
      <c r="H28" s="146"/>
      <c r="I28" s="146"/>
      <c r="J28" s="146"/>
      <c r="K28" s="146"/>
      <c r="L28" s="146"/>
      <c r="M28" s="146"/>
      <c r="N28" s="146"/>
      <c r="O28" s="146"/>
      <c r="P28" s="146"/>
      <c r="Q28" s="146"/>
      <c r="R28" s="146"/>
      <c r="S28" s="146"/>
      <c r="T28" s="146"/>
      <c r="U28" s="146"/>
      <c r="V28" s="146"/>
      <c r="W28" s="146"/>
      <c r="X28" s="146"/>
      <c r="Y28" s="146"/>
      <c r="Z28" s="146"/>
    </row>
    <row r="29" spans="1:26" ht="20.25" customHeight="1" x14ac:dyDescent="0.25">
      <c r="A29" s="4"/>
      <c r="B29" s="158">
        <v>5</v>
      </c>
      <c r="C29" s="159" t="s">
        <v>412</v>
      </c>
      <c r="D29" s="158" t="s">
        <v>352</v>
      </c>
      <c r="E29" s="160">
        <v>6.1600000000000002E-2</v>
      </c>
      <c r="F29" s="160">
        <v>3.5000000000000003E-2</v>
      </c>
      <c r="G29" s="4"/>
      <c r="H29" s="146"/>
      <c r="I29" s="146"/>
      <c r="J29" s="146"/>
      <c r="K29" s="146"/>
      <c r="L29" s="146"/>
      <c r="M29" s="146"/>
      <c r="N29" s="146"/>
      <c r="O29" s="146"/>
      <c r="P29" s="146"/>
      <c r="Q29" s="146"/>
      <c r="R29" s="146"/>
      <c r="S29" s="146"/>
      <c r="T29" s="146"/>
      <c r="U29" s="146"/>
      <c r="V29" s="146"/>
      <c r="W29" s="146"/>
      <c r="X29" s="146"/>
      <c r="Y29" s="146"/>
      <c r="Z29" s="146"/>
    </row>
    <row r="30" spans="1:26" ht="20.25" customHeight="1" x14ac:dyDescent="0.25">
      <c r="A30" s="4"/>
      <c r="B30" s="158">
        <v>6</v>
      </c>
      <c r="C30" s="159" t="s">
        <v>413</v>
      </c>
      <c r="D30" s="158" t="s">
        <v>414</v>
      </c>
      <c r="E30" s="160">
        <f t="shared" ref="E30:F30" si="0">SUM(E31:E34)</f>
        <v>0.10150000000000001</v>
      </c>
      <c r="F30" s="160">
        <f t="shared" si="0"/>
        <v>8.1500000000000003E-2</v>
      </c>
      <c r="G30" s="4"/>
      <c r="H30" s="146"/>
      <c r="I30" s="146"/>
      <c r="J30" s="146"/>
      <c r="K30" s="146"/>
      <c r="L30" s="146"/>
      <c r="M30" s="146"/>
      <c r="N30" s="146"/>
      <c r="O30" s="146"/>
      <c r="P30" s="146"/>
      <c r="Q30" s="146"/>
      <c r="R30" s="146"/>
      <c r="S30" s="146"/>
      <c r="T30" s="146"/>
      <c r="U30" s="146"/>
      <c r="V30" s="146"/>
      <c r="W30" s="146"/>
      <c r="X30" s="146"/>
      <c r="Y30" s="146"/>
      <c r="Z30" s="146"/>
    </row>
    <row r="31" spans="1:26" ht="20.25" customHeight="1" x14ac:dyDescent="0.25">
      <c r="A31" s="4"/>
      <c r="B31" s="158" t="s">
        <v>415</v>
      </c>
      <c r="C31" s="159" t="s">
        <v>416</v>
      </c>
      <c r="D31" s="159"/>
      <c r="E31" s="160">
        <v>6.4999999999999997E-3</v>
      </c>
      <c r="F31" s="160">
        <v>6.4999999999999997E-3</v>
      </c>
      <c r="G31" s="4"/>
      <c r="H31" s="146"/>
      <c r="I31" s="146"/>
      <c r="J31" s="146"/>
      <c r="K31" s="146"/>
      <c r="L31" s="146"/>
      <c r="M31" s="146"/>
      <c r="N31" s="146"/>
      <c r="O31" s="146"/>
      <c r="P31" s="146"/>
      <c r="Q31" s="146"/>
      <c r="R31" s="146"/>
      <c r="S31" s="146"/>
      <c r="T31" s="146"/>
      <c r="U31" s="146"/>
      <c r="V31" s="146"/>
      <c r="W31" s="146"/>
      <c r="X31" s="146"/>
      <c r="Y31" s="146"/>
      <c r="Z31" s="146"/>
    </row>
    <row r="32" spans="1:26" ht="20.25" customHeight="1" x14ac:dyDescent="0.25">
      <c r="A32" s="4"/>
      <c r="B32" s="158" t="s">
        <v>417</v>
      </c>
      <c r="C32" s="159" t="s">
        <v>418</v>
      </c>
      <c r="D32" s="159"/>
      <c r="E32" s="160">
        <v>0.03</v>
      </c>
      <c r="F32" s="160">
        <v>0.03</v>
      </c>
      <c r="G32" s="4"/>
      <c r="H32" s="146"/>
      <c r="I32" s="146"/>
      <c r="J32" s="146"/>
      <c r="K32" s="146"/>
      <c r="L32" s="146"/>
      <c r="M32" s="146"/>
      <c r="N32" s="146"/>
      <c r="O32" s="146"/>
      <c r="P32" s="146"/>
      <c r="Q32" s="146"/>
      <c r="R32" s="146"/>
      <c r="S32" s="146"/>
      <c r="T32" s="146"/>
      <c r="U32" s="146"/>
      <c r="V32" s="146"/>
      <c r="W32" s="146"/>
      <c r="X32" s="146"/>
      <c r="Y32" s="146"/>
      <c r="Z32" s="146"/>
    </row>
    <row r="33" spans="1:26" ht="20.25" customHeight="1" x14ac:dyDescent="0.25">
      <c r="A33" s="4"/>
      <c r="B33" s="158" t="s">
        <v>419</v>
      </c>
      <c r="C33" s="159" t="s">
        <v>420</v>
      </c>
      <c r="D33" s="159"/>
      <c r="E33" s="160">
        <v>0.02</v>
      </c>
      <c r="F33" s="160">
        <v>0</v>
      </c>
      <c r="G33" s="4"/>
      <c r="H33" s="146"/>
      <c r="I33" s="146"/>
      <c r="J33" s="146"/>
      <c r="K33" s="146"/>
      <c r="L33" s="146"/>
      <c r="M33" s="146"/>
      <c r="N33" s="146"/>
      <c r="O33" s="146"/>
      <c r="P33" s="146"/>
      <c r="Q33" s="146"/>
      <c r="R33" s="146"/>
      <c r="S33" s="146"/>
      <c r="T33" s="146"/>
      <c r="U33" s="146"/>
      <c r="V33" s="146"/>
      <c r="W33" s="146"/>
      <c r="X33" s="146"/>
      <c r="Y33" s="146"/>
      <c r="Z33" s="146"/>
    </row>
    <row r="34" spans="1:26" ht="20.25" customHeight="1" x14ac:dyDescent="0.25">
      <c r="A34" s="4"/>
      <c r="B34" s="158" t="s">
        <v>421</v>
      </c>
      <c r="C34" s="159" t="s">
        <v>422</v>
      </c>
      <c r="D34" s="159"/>
      <c r="E34" s="160">
        <v>4.4999999999999998E-2</v>
      </c>
      <c r="F34" s="160">
        <v>4.4999999999999998E-2</v>
      </c>
      <c r="G34" s="4"/>
      <c r="H34" s="146"/>
      <c r="I34" s="146"/>
      <c r="J34" s="146"/>
      <c r="K34" s="146"/>
      <c r="L34" s="146"/>
      <c r="M34" s="146"/>
      <c r="N34" s="146"/>
      <c r="O34" s="146"/>
      <c r="P34" s="146"/>
      <c r="Q34" s="146"/>
      <c r="R34" s="146"/>
      <c r="S34" s="146"/>
      <c r="T34" s="146"/>
      <c r="U34" s="146"/>
      <c r="V34" s="146"/>
      <c r="W34" s="146"/>
      <c r="X34" s="146"/>
      <c r="Y34" s="146"/>
      <c r="Z34" s="146"/>
    </row>
    <row r="35" spans="1:26" ht="20.25" customHeight="1" x14ac:dyDescent="0.25">
      <c r="A35" s="4"/>
      <c r="B35" s="161"/>
      <c r="C35" s="162"/>
      <c r="D35" s="162"/>
      <c r="E35" s="160"/>
      <c r="F35" s="160"/>
      <c r="G35" s="4"/>
      <c r="H35" s="146"/>
      <c r="I35" s="146"/>
      <c r="J35" s="146"/>
      <c r="K35" s="146"/>
      <c r="L35" s="146"/>
      <c r="M35" s="146"/>
      <c r="N35" s="146"/>
      <c r="O35" s="146"/>
      <c r="P35" s="146"/>
      <c r="Q35" s="146"/>
      <c r="R35" s="146"/>
      <c r="S35" s="146"/>
      <c r="T35" s="146"/>
      <c r="U35" s="146"/>
      <c r="V35" s="146"/>
      <c r="W35" s="146"/>
      <c r="X35" s="146"/>
      <c r="Y35" s="146"/>
      <c r="Z35" s="146"/>
    </row>
    <row r="36" spans="1:26" ht="20.25" customHeight="1" x14ac:dyDescent="0.25">
      <c r="A36" s="4"/>
      <c r="B36" s="342" t="s">
        <v>423</v>
      </c>
      <c r="C36" s="407"/>
      <c r="D36" s="343"/>
      <c r="E36" s="70">
        <f t="shared" ref="E36:F36" si="1">((1+E25+E26+E27)*(1+E28)*(1+E29)/(1-E30))-1</f>
        <v>0.26869999999999999</v>
      </c>
      <c r="F36" s="70">
        <f t="shared" si="1"/>
        <v>0.19070000000000001</v>
      </c>
      <c r="G36" s="4"/>
      <c r="H36" s="146"/>
      <c r="I36" s="146"/>
      <c r="J36" s="146"/>
      <c r="K36" s="146"/>
      <c r="L36" s="146"/>
      <c r="M36" s="146"/>
      <c r="N36" s="146"/>
      <c r="O36" s="146"/>
      <c r="P36" s="146"/>
      <c r="Q36" s="146"/>
      <c r="R36" s="146"/>
      <c r="S36" s="146"/>
      <c r="T36" s="146"/>
      <c r="U36" s="146"/>
      <c r="V36" s="146"/>
      <c r="W36" s="146"/>
      <c r="X36" s="146"/>
      <c r="Y36" s="146"/>
      <c r="Z36" s="146"/>
    </row>
    <row r="37" spans="1:26" ht="6" customHeight="1" x14ac:dyDescent="0.25">
      <c r="A37" s="4"/>
      <c r="B37" s="65"/>
      <c r="C37" s="65"/>
      <c r="D37" s="65"/>
      <c r="E37" s="163"/>
      <c r="F37" s="163"/>
      <c r="G37" s="4"/>
      <c r="H37" s="146"/>
      <c r="I37" s="146"/>
      <c r="J37" s="146"/>
      <c r="K37" s="146"/>
      <c r="L37" s="146"/>
      <c r="M37" s="146"/>
      <c r="N37" s="146"/>
      <c r="O37" s="146"/>
      <c r="P37" s="146"/>
      <c r="Q37" s="146"/>
      <c r="R37" s="146"/>
      <c r="S37" s="146"/>
      <c r="T37" s="146"/>
      <c r="U37" s="146"/>
      <c r="V37" s="146"/>
      <c r="W37" s="146"/>
      <c r="X37" s="146"/>
      <c r="Y37" s="146"/>
      <c r="Z37" s="146"/>
    </row>
    <row r="38" spans="1:26" ht="6" customHeight="1" x14ac:dyDescent="0.25">
      <c r="A38" s="4"/>
      <c r="B38" s="65"/>
      <c r="C38" s="65"/>
      <c r="D38" s="65"/>
      <c r="E38" s="163"/>
      <c r="F38" s="163"/>
      <c r="G38" s="4"/>
      <c r="H38" s="146"/>
      <c r="I38" s="146"/>
      <c r="J38" s="146"/>
      <c r="K38" s="146"/>
      <c r="L38" s="146"/>
      <c r="M38" s="146"/>
      <c r="N38" s="146"/>
      <c r="O38" s="146"/>
      <c r="P38" s="146"/>
      <c r="Q38" s="146"/>
      <c r="R38" s="146"/>
      <c r="S38" s="146"/>
      <c r="T38" s="146"/>
      <c r="U38" s="146"/>
      <c r="V38" s="146"/>
      <c r="W38" s="146"/>
      <c r="X38" s="146"/>
      <c r="Y38" s="146"/>
      <c r="Z38" s="146"/>
    </row>
    <row r="39" spans="1:26" ht="20.25" customHeight="1" x14ac:dyDescent="0.25">
      <c r="A39" s="4"/>
      <c r="B39" s="66" t="s">
        <v>424</v>
      </c>
      <c r="C39" s="48"/>
      <c r="D39" s="48"/>
      <c r="E39" s="48"/>
      <c r="F39" s="48"/>
      <c r="G39" s="4"/>
      <c r="H39" s="146"/>
      <c r="I39" s="146"/>
      <c r="J39" s="146"/>
      <c r="K39" s="146"/>
      <c r="L39" s="146"/>
      <c r="M39" s="146"/>
      <c r="N39" s="146"/>
      <c r="O39" s="146"/>
      <c r="P39" s="146"/>
      <c r="Q39" s="146"/>
      <c r="R39" s="146"/>
      <c r="S39" s="146"/>
      <c r="T39" s="146"/>
      <c r="U39" s="146"/>
      <c r="V39" s="146"/>
      <c r="W39" s="146"/>
      <c r="X39" s="146"/>
      <c r="Y39" s="146"/>
      <c r="Z39" s="146"/>
    </row>
    <row r="40" spans="1:26" ht="20.25" customHeight="1" x14ac:dyDescent="0.25">
      <c r="A40" s="4"/>
      <c r="B40" s="32" t="s">
        <v>425</v>
      </c>
      <c r="C40" s="408" t="s">
        <v>426</v>
      </c>
      <c r="D40" s="331"/>
      <c r="E40" s="331"/>
      <c r="F40" s="331"/>
      <c r="G40" s="4"/>
      <c r="H40" s="146"/>
      <c r="I40" s="146"/>
      <c r="J40" s="146"/>
      <c r="K40" s="146"/>
      <c r="L40" s="146"/>
      <c r="M40" s="146"/>
      <c r="N40" s="146"/>
      <c r="O40" s="146"/>
      <c r="P40" s="146"/>
      <c r="Q40" s="146"/>
      <c r="R40" s="146"/>
      <c r="S40" s="146"/>
      <c r="T40" s="146"/>
      <c r="U40" s="146"/>
      <c r="V40" s="146"/>
      <c r="W40" s="146"/>
      <c r="X40" s="146"/>
      <c r="Y40" s="146"/>
      <c r="Z40" s="146"/>
    </row>
    <row r="41" spans="1:26" ht="20.25" customHeight="1" x14ac:dyDescent="0.25">
      <c r="A41" s="4"/>
      <c r="B41" s="32" t="s">
        <v>427</v>
      </c>
      <c r="C41" s="408" t="s">
        <v>428</v>
      </c>
      <c r="D41" s="331"/>
      <c r="E41" s="331"/>
      <c r="F41" s="331"/>
      <c r="G41" s="4"/>
      <c r="H41" s="146"/>
      <c r="I41" s="146"/>
      <c r="J41" s="146"/>
      <c r="K41" s="146"/>
      <c r="L41" s="146"/>
      <c r="M41" s="146"/>
      <c r="N41" s="146"/>
      <c r="O41" s="146"/>
      <c r="P41" s="146"/>
      <c r="Q41" s="146"/>
      <c r="R41" s="146"/>
      <c r="S41" s="146"/>
      <c r="T41" s="146"/>
      <c r="U41" s="146"/>
      <c r="V41" s="146"/>
      <c r="W41" s="146"/>
      <c r="X41" s="146"/>
      <c r="Y41" s="146"/>
      <c r="Z41" s="146"/>
    </row>
    <row r="42" spans="1:26" ht="66" customHeight="1" x14ac:dyDescent="0.25">
      <c r="A42" s="4"/>
      <c r="B42" s="32" t="s">
        <v>429</v>
      </c>
      <c r="C42" s="409" t="s">
        <v>753</v>
      </c>
      <c r="D42" s="331"/>
      <c r="E42" s="331"/>
      <c r="F42" s="331"/>
      <c r="G42" s="4"/>
      <c r="H42" s="146"/>
      <c r="I42" s="146"/>
      <c r="J42" s="146"/>
      <c r="K42" s="146"/>
      <c r="L42" s="146"/>
      <c r="M42" s="146"/>
      <c r="N42" s="146"/>
      <c r="O42" s="146"/>
      <c r="P42" s="146"/>
      <c r="Q42" s="146"/>
      <c r="R42" s="146"/>
      <c r="S42" s="146"/>
      <c r="T42" s="146"/>
      <c r="U42" s="146"/>
      <c r="V42" s="146"/>
      <c r="W42" s="146"/>
      <c r="X42" s="146"/>
      <c r="Y42" s="146"/>
      <c r="Z42" s="146"/>
    </row>
    <row r="43" spans="1:26" ht="20.25" customHeight="1" x14ac:dyDescent="0.25">
      <c r="A43" s="4"/>
      <c r="B43" s="32"/>
      <c r="C43" s="48"/>
      <c r="D43" s="165"/>
      <c r="E43" s="165"/>
      <c r="F43" s="165"/>
      <c r="G43" s="4"/>
      <c r="H43" s="146"/>
      <c r="I43" s="146"/>
      <c r="J43" s="146"/>
      <c r="K43" s="146"/>
      <c r="L43" s="146"/>
      <c r="M43" s="146"/>
      <c r="N43" s="146"/>
      <c r="O43" s="146"/>
      <c r="P43" s="146"/>
      <c r="Q43" s="146"/>
      <c r="R43" s="146"/>
      <c r="S43" s="146"/>
      <c r="T43" s="146"/>
      <c r="U43" s="146"/>
      <c r="V43" s="146"/>
      <c r="W43" s="146"/>
      <c r="X43" s="146"/>
      <c r="Y43" s="146"/>
      <c r="Z43" s="146"/>
    </row>
    <row r="44" spans="1:26" ht="20.25" customHeight="1" x14ac:dyDescent="0.25">
      <c r="A44" s="4"/>
      <c r="B44" s="66" t="s">
        <v>430</v>
      </c>
      <c r="C44" s="48"/>
      <c r="D44" s="48"/>
      <c r="E44" s="48"/>
      <c r="F44" s="48"/>
      <c r="G44" s="4"/>
      <c r="H44" s="146"/>
      <c r="I44" s="146"/>
      <c r="J44" s="146"/>
      <c r="K44" s="146"/>
      <c r="L44" s="146"/>
      <c r="M44" s="146"/>
      <c r="N44" s="146"/>
      <c r="O44" s="146"/>
      <c r="P44" s="146"/>
      <c r="Q44" s="146"/>
      <c r="R44" s="146"/>
      <c r="S44" s="146"/>
      <c r="T44" s="146"/>
      <c r="U44" s="146"/>
      <c r="V44" s="146"/>
      <c r="W44" s="146"/>
      <c r="X44" s="146"/>
      <c r="Y44" s="146"/>
      <c r="Z44" s="146"/>
    </row>
    <row r="45" spans="1:26" ht="20.25" customHeight="1" x14ac:dyDescent="0.25">
      <c r="A45" s="4"/>
      <c r="B45" s="32" t="s">
        <v>425</v>
      </c>
      <c r="C45" s="408" t="s">
        <v>431</v>
      </c>
      <c r="D45" s="331"/>
      <c r="E45" s="331"/>
      <c r="F45" s="331"/>
      <c r="G45" s="4"/>
      <c r="H45" s="146"/>
      <c r="I45" s="146"/>
      <c r="J45" s="146"/>
      <c r="K45" s="146"/>
      <c r="L45" s="146"/>
      <c r="M45" s="146"/>
      <c r="N45" s="146"/>
      <c r="O45" s="146"/>
      <c r="P45" s="146"/>
      <c r="Q45" s="146"/>
      <c r="R45" s="146"/>
      <c r="S45" s="146"/>
      <c r="T45" s="146"/>
      <c r="U45" s="146"/>
      <c r="V45" s="146"/>
      <c r="W45" s="146"/>
      <c r="X45" s="146"/>
      <c r="Y45" s="146"/>
      <c r="Z45" s="146"/>
    </row>
    <row r="46" spans="1:26" ht="20.25" customHeight="1" x14ac:dyDescent="0.25">
      <c r="A46" s="4"/>
      <c r="B46" s="32" t="s">
        <v>427</v>
      </c>
      <c r="C46" s="408" t="s">
        <v>432</v>
      </c>
      <c r="D46" s="331"/>
      <c r="E46" s="331"/>
      <c r="F46" s="331"/>
      <c r="G46" s="4"/>
      <c r="H46" s="146"/>
      <c r="I46" s="146"/>
      <c r="J46" s="146"/>
      <c r="K46" s="146"/>
      <c r="L46" s="146"/>
      <c r="M46" s="146"/>
      <c r="N46" s="146"/>
      <c r="O46" s="146"/>
      <c r="P46" s="146"/>
      <c r="Q46" s="146"/>
      <c r="R46" s="146"/>
      <c r="S46" s="146"/>
      <c r="T46" s="146"/>
      <c r="U46" s="146"/>
      <c r="V46" s="146"/>
      <c r="W46" s="146"/>
      <c r="X46" s="146"/>
      <c r="Y46" s="146"/>
      <c r="Z46" s="146"/>
    </row>
    <row r="47" spans="1:26" ht="20.25" customHeight="1" x14ac:dyDescent="0.25">
      <c r="A47" s="4"/>
      <c r="B47" s="4"/>
      <c r="C47" s="4"/>
      <c r="D47" s="4"/>
      <c r="E47" s="4"/>
      <c r="F47" s="166"/>
      <c r="G47" s="4"/>
      <c r="H47" s="146"/>
      <c r="I47" s="146"/>
      <c r="J47" s="146"/>
      <c r="K47" s="146"/>
      <c r="L47" s="146"/>
      <c r="M47" s="146"/>
      <c r="N47" s="146"/>
      <c r="O47" s="146"/>
      <c r="P47" s="146"/>
      <c r="Q47" s="146"/>
      <c r="R47" s="146"/>
      <c r="S47" s="146"/>
      <c r="T47" s="146"/>
      <c r="U47" s="146"/>
      <c r="V47" s="146"/>
      <c r="W47" s="146"/>
      <c r="X47" s="146"/>
      <c r="Y47" s="146"/>
      <c r="Z47" s="146"/>
    </row>
    <row r="48" spans="1:26" ht="20.25" customHeight="1" x14ac:dyDescent="0.25">
      <c r="A48" s="4"/>
      <c r="B48" s="402" t="s">
        <v>14</v>
      </c>
      <c r="C48" s="328"/>
      <c r="D48" s="328"/>
      <c r="E48" s="328"/>
      <c r="F48" s="329"/>
      <c r="G48" s="4"/>
      <c r="H48" s="146"/>
      <c r="I48" s="146"/>
      <c r="J48" s="146"/>
      <c r="K48" s="146"/>
      <c r="L48" s="146"/>
      <c r="M48" s="146"/>
      <c r="N48" s="146"/>
      <c r="O48" s="146"/>
      <c r="P48" s="146"/>
      <c r="Q48" s="146"/>
      <c r="R48" s="146"/>
      <c r="S48" s="146"/>
      <c r="T48" s="146"/>
      <c r="U48" s="146"/>
      <c r="V48" s="146"/>
      <c r="W48" s="146"/>
      <c r="X48" s="146"/>
      <c r="Y48" s="146"/>
      <c r="Z48" s="146"/>
    </row>
    <row r="49" spans="1:26" ht="20.25" customHeight="1" x14ac:dyDescent="0.25">
      <c r="A49" s="4"/>
      <c r="B49" s="330"/>
      <c r="C49" s="331"/>
      <c r="D49" s="331"/>
      <c r="E49" s="331"/>
      <c r="F49" s="332"/>
      <c r="G49" s="4"/>
      <c r="H49" s="146"/>
      <c r="I49" s="146"/>
      <c r="J49" s="146"/>
      <c r="K49" s="146"/>
      <c r="L49" s="146"/>
      <c r="M49" s="146"/>
      <c r="N49" s="146"/>
      <c r="O49" s="146"/>
      <c r="P49" s="146"/>
      <c r="Q49" s="146"/>
      <c r="R49" s="146"/>
      <c r="S49" s="146"/>
      <c r="T49" s="146"/>
      <c r="U49" s="146"/>
      <c r="V49" s="146"/>
      <c r="W49" s="146"/>
      <c r="X49" s="146"/>
      <c r="Y49" s="146"/>
      <c r="Z49" s="146"/>
    </row>
    <row r="50" spans="1:26" ht="20.25" customHeight="1" x14ac:dyDescent="0.25">
      <c r="A50" s="4"/>
      <c r="B50" s="330"/>
      <c r="C50" s="331"/>
      <c r="D50" s="331"/>
      <c r="E50" s="331"/>
      <c r="F50" s="332"/>
      <c r="G50" s="4"/>
      <c r="H50" s="146"/>
      <c r="I50" s="146"/>
      <c r="J50" s="146"/>
      <c r="K50" s="146"/>
      <c r="L50" s="146"/>
      <c r="M50" s="146"/>
      <c r="N50" s="146"/>
      <c r="O50" s="146"/>
      <c r="P50" s="146"/>
      <c r="Q50" s="146"/>
      <c r="R50" s="146"/>
      <c r="S50" s="146"/>
      <c r="T50" s="146"/>
      <c r="U50" s="146"/>
      <c r="V50" s="146"/>
      <c r="W50" s="146"/>
      <c r="X50" s="146"/>
      <c r="Y50" s="146"/>
      <c r="Z50" s="146"/>
    </row>
    <row r="51" spans="1:26" ht="20.25" customHeight="1" x14ac:dyDescent="0.25">
      <c r="A51" s="4"/>
      <c r="B51" s="330"/>
      <c r="C51" s="331"/>
      <c r="D51" s="331"/>
      <c r="E51" s="331"/>
      <c r="F51" s="332"/>
      <c r="G51" s="4"/>
      <c r="H51" s="146"/>
      <c r="I51" s="146"/>
      <c r="J51" s="146"/>
      <c r="K51" s="146"/>
      <c r="L51" s="146"/>
      <c r="M51" s="146"/>
      <c r="N51" s="146"/>
      <c r="O51" s="146"/>
      <c r="P51" s="146"/>
      <c r="Q51" s="146"/>
      <c r="R51" s="146"/>
      <c r="S51" s="146"/>
      <c r="T51" s="146"/>
      <c r="U51" s="146"/>
      <c r="V51" s="146"/>
      <c r="W51" s="146"/>
      <c r="X51" s="146"/>
      <c r="Y51" s="146"/>
      <c r="Z51" s="146"/>
    </row>
    <row r="52" spans="1:26" ht="20.25" customHeight="1" x14ac:dyDescent="0.3">
      <c r="A52" s="4"/>
      <c r="B52" s="340" t="str">
        <f>'DADOS GERAIS'!C24</f>
        <v>Kleber Viana Bueno Telles</v>
      </c>
      <c r="C52" s="331"/>
      <c r="D52" s="331"/>
      <c r="E52" s="331"/>
      <c r="F52" s="332"/>
      <c r="G52" s="4"/>
      <c r="H52" s="146"/>
      <c r="I52" s="146"/>
      <c r="J52" s="146"/>
      <c r="K52" s="146"/>
      <c r="L52" s="146"/>
      <c r="M52" s="146"/>
      <c r="N52" s="146"/>
      <c r="O52" s="146"/>
      <c r="P52" s="146"/>
      <c r="Q52" s="146"/>
      <c r="R52" s="146"/>
      <c r="S52" s="146"/>
      <c r="T52" s="146"/>
      <c r="U52" s="146"/>
      <c r="V52" s="146"/>
      <c r="W52" s="146"/>
      <c r="X52" s="146"/>
      <c r="Y52" s="146"/>
      <c r="Z52" s="146"/>
    </row>
    <row r="53" spans="1:26" ht="20.25" customHeight="1" x14ac:dyDescent="0.25">
      <c r="A53" s="4"/>
      <c r="B53" s="403" t="str">
        <f>'DADOS GERAIS'!C25</f>
        <v>Engenheiro Civil  - CREA 27115 DPE</v>
      </c>
      <c r="C53" s="331"/>
      <c r="D53" s="331"/>
      <c r="E53" s="331"/>
      <c r="F53" s="332"/>
      <c r="G53" s="4"/>
      <c r="H53" s="146"/>
      <c r="I53" s="146"/>
      <c r="J53" s="146"/>
      <c r="K53" s="146"/>
      <c r="L53" s="146"/>
      <c r="M53" s="146"/>
      <c r="N53" s="146"/>
      <c r="O53" s="146"/>
      <c r="P53" s="146"/>
      <c r="Q53" s="146"/>
      <c r="R53" s="146"/>
      <c r="S53" s="146"/>
      <c r="T53" s="146"/>
      <c r="U53" s="146"/>
      <c r="V53" s="146"/>
      <c r="W53" s="146"/>
      <c r="X53" s="146"/>
      <c r="Y53" s="146"/>
      <c r="Z53" s="146"/>
    </row>
    <row r="54" spans="1:26" ht="20.25" customHeight="1" x14ac:dyDescent="0.25">
      <c r="A54" s="4"/>
      <c r="B54" s="167"/>
      <c r="C54" s="168"/>
      <c r="D54" s="168"/>
      <c r="E54" s="168"/>
      <c r="F54" s="169"/>
      <c r="G54" s="4"/>
      <c r="H54" s="146"/>
      <c r="I54" s="146"/>
      <c r="J54" s="146"/>
      <c r="K54" s="146"/>
      <c r="L54" s="146"/>
      <c r="M54" s="146"/>
      <c r="N54" s="146"/>
      <c r="O54" s="146"/>
      <c r="P54" s="146"/>
      <c r="Q54" s="146"/>
      <c r="R54" s="146"/>
      <c r="S54" s="146"/>
      <c r="T54" s="146"/>
      <c r="U54" s="146"/>
      <c r="V54" s="146"/>
      <c r="W54" s="146"/>
      <c r="X54" s="146"/>
      <c r="Y54" s="146"/>
      <c r="Z54" s="146"/>
    </row>
    <row r="55" spans="1:26" ht="15.75" customHeight="1" x14ac:dyDescent="0.25">
      <c r="A55" s="4"/>
      <c r="B55" s="91"/>
      <c r="C55" s="42"/>
      <c r="D55" s="42"/>
      <c r="E55" s="42"/>
      <c r="F55" s="43"/>
      <c r="G55" s="4"/>
      <c r="H55" s="146"/>
      <c r="I55" s="146"/>
      <c r="J55" s="146"/>
      <c r="K55" s="146"/>
      <c r="L55" s="146"/>
      <c r="M55" s="146"/>
      <c r="N55" s="146"/>
      <c r="O55" s="146"/>
      <c r="P55" s="146"/>
      <c r="Q55" s="146"/>
      <c r="R55" s="146"/>
      <c r="S55" s="146"/>
      <c r="T55" s="146"/>
      <c r="U55" s="146"/>
      <c r="V55" s="146"/>
      <c r="W55" s="146"/>
      <c r="X55" s="146"/>
      <c r="Y55" s="146"/>
      <c r="Z55" s="146"/>
    </row>
    <row r="56" spans="1:26" ht="20.25" customHeight="1" x14ac:dyDescent="0.25">
      <c r="A56" s="4"/>
      <c r="B56" s="4"/>
      <c r="C56" s="4"/>
      <c r="D56" s="4"/>
      <c r="E56" s="4"/>
      <c r="F56" s="4"/>
      <c r="G56" s="4"/>
      <c r="H56" s="146"/>
      <c r="I56" s="146"/>
      <c r="J56" s="146"/>
      <c r="K56" s="146"/>
      <c r="L56" s="146"/>
      <c r="M56" s="146"/>
      <c r="N56" s="146"/>
      <c r="O56" s="146"/>
      <c r="P56" s="146"/>
      <c r="Q56" s="146"/>
      <c r="R56" s="146"/>
      <c r="S56" s="146"/>
      <c r="T56" s="146"/>
      <c r="U56" s="146"/>
      <c r="V56" s="146"/>
      <c r="W56" s="146"/>
      <c r="X56" s="146"/>
      <c r="Y56" s="146"/>
      <c r="Z56" s="146"/>
    </row>
    <row r="57" spans="1:26" ht="15.75" customHeight="1" x14ac:dyDescent="0.25">
      <c r="A57" s="146"/>
      <c r="B57" s="146"/>
      <c r="C57" s="146"/>
      <c r="D57" s="146"/>
      <c r="E57" s="146"/>
      <c r="F57" s="146"/>
      <c r="G57" s="146"/>
      <c r="H57" s="146"/>
      <c r="I57" s="146"/>
      <c r="J57" s="146"/>
      <c r="K57" s="146"/>
      <c r="L57" s="146"/>
      <c r="M57" s="146"/>
      <c r="N57" s="146"/>
      <c r="O57" s="146"/>
      <c r="P57" s="146"/>
      <c r="Q57" s="146"/>
      <c r="R57" s="146"/>
      <c r="S57" s="146"/>
      <c r="T57" s="146"/>
      <c r="U57" s="146"/>
      <c r="V57" s="146"/>
      <c r="W57" s="146"/>
      <c r="X57" s="146"/>
      <c r="Y57" s="146"/>
      <c r="Z57" s="146"/>
    </row>
    <row r="58" spans="1:26" ht="15.75" customHeight="1" x14ac:dyDescent="0.25">
      <c r="A58" s="146"/>
      <c r="B58" s="146"/>
      <c r="C58" s="146"/>
      <c r="D58" s="146"/>
      <c r="E58" s="146"/>
      <c r="F58" s="146"/>
      <c r="G58" s="146"/>
      <c r="H58" s="146"/>
      <c r="I58" s="146"/>
      <c r="J58" s="146"/>
      <c r="K58" s="146"/>
      <c r="L58" s="146"/>
      <c r="M58" s="146"/>
      <c r="N58" s="146"/>
      <c r="O58" s="146"/>
      <c r="P58" s="146"/>
      <c r="Q58" s="146"/>
      <c r="R58" s="146"/>
      <c r="S58" s="146"/>
      <c r="T58" s="146"/>
      <c r="U58" s="146"/>
      <c r="V58" s="146"/>
      <c r="W58" s="146"/>
      <c r="X58" s="146"/>
      <c r="Y58" s="146"/>
      <c r="Z58" s="146"/>
    </row>
    <row r="59" spans="1:26" ht="15.75" customHeight="1" x14ac:dyDescent="0.25">
      <c r="A59" s="146"/>
      <c r="B59" s="146"/>
      <c r="C59" s="146"/>
      <c r="D59" s="146"/>
      <c r="E59" s="146"/>
      <c r="F59" s="146"/>
      <c r="G59" s="146"/>
      <c r="H59" s="146"/>
      <c r="I59" s="146"/>
      <c r="J59" s="146"/>
      <c r="K59" s="146"/>
      <c r="L59" s="146"/>
      <c r="M59" s="146"/>
      <c r="N59" s="146"/>
      <c r="O59" s="146"/>
      <c r="P59" s="146"/>
      <c r="Q59" s="146"/>
      <c r="R59" s="146"/>
      <c r="S59" s="146"/>
      <c r="T59" s="146"/>
      <c r="U59" s="146"/>
      <c r="V59" s="146"/>
      <c r="W59" s="146"/>
      <c r="X59" s="146"/>
      <c r="Y59" s="146"/>
      <c r="Z59" s="146"/>
    </row>
    <row r="60" spans="1:26" ht="15.75" customHeight="1" x14ac:dyDescent="0.25">
      <c r="A60" s="146"/>
      <c r="B60" s="146"/>
      <c r="C60" s="146"/>
      <c r="D60" s="146"/>
      <c r="E60" s="146"/>
      <c r="F60" s="146"/>
      <c r="G60" s="146"/>
      <c r="H60" s="146"/>
      <c r="I60" s="146"/>
      <c r="J60" s="146"/>
      <c r="K60" s="146"/>
      <c r="L60" s="146"/>
      <c r="M60" s="146"/>
      <c r="N60" s="146"/>
      <c r="O60" s="146"/>
      <c r="P60" s="146"/>
      <c r="Q60" s="146"/>
      <c r="R60" s="146"/>
      <c r="S60" s="146"/>
      <c r="T60" s="146"/>
      <c r="U60" s="146"/>
      <c r="V60" s="146"/>
      <c r="W60" s="146"/>
      <c r="X60" s="146"/>
      <c r="Y60" s="146"/>
      <c r="Z60" s="146"/>
    </row>
    <row r="61" spans="1:26" ht="15.75" customHeight="1" x14ac:dyDescent="0.25">
      <c r="A61" s="146"/>
      <c r="B61" s="146"/>
      <c r="C61" s="146"/>
      <c r="D61" s="146"/>
      <c r="E61" s="146"/>
      <c r="F61" s="146"/>
      <c r="G61" s="146"/>
      <c r="H61" s="146"/>
      <c r="I61" s="146"/>
      <c r="J61" s="146"/>
      <c r="K61" s="146"/>
      <c r="L61" s="146"/>
      <c r="M61" s="146"/>
      <c r="N61" s="146"/>
      <c r="O61" s="146"/>
      <c r="P61" s="146"/>
      <c r="Q61" s="146"/>
      <c r="R61" s="146"/>
      <c r="S61" s="146"/>
      <c r="T61" s="146"/>
      <c r="U61" s="146"/>
      <c r="V61" s="146"/>
      <c r="W61" s="146"/>
      <c r="X61" s="146"/>
      <c r="Y61" s="146"/>
      <c r="Z61" s="146"/>
    </row>
    <row r="62" spans="1:26" ht="15.75" customHeight="1" x14ac:dyDescent="0.25">
      <c r="A62" s="146"/>
      <c r="B62" s="146"/>
      <c r="C62" s="146"/>
      <c r="D62" s="146"/>
      <c r="E62" s="146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</row>
    <row r="63" spans="1:26" ht="15.75" customHeight="1" x14ac:dyDescent="0.25">
      <c r="A63" s="146"/>
      <c r="B63" s="146"/>
      <c r="C63" s="146"/>
      <c r="D63" s="146"/>
      <c r="E63" s="146"/>
      <c r="F63" s="146"/>
      <c r="G63" s="146"/>
      <c r="H63" s="146"/>
      <c r="I63" s="146"/>
      <c r="J63" s="146"/>
      <c r="K63" s="146"/>
      <c r="L63" s="146"/>
      <c r="M63" s="146"/>
      <c r="N63" s="146"/>
      <c r="O63" s="146"/>
      <c r="P63" s="146"/>
      <c r="Q63" s="146"/>
      <c r="R63" s="146"/>
      <c r="S63" s="146"/>
      <c r="T63" s="146"/>
      <c r="U63" s="146"/>
      <c r="V63" s="146"/>
      <c r="W63" s="146"/>
      <c r="X63" s="146"/>
      <c r="Y63" s="146"/>
      <c r="Z63" s="146"/>
    </row>
    <row r="64" spans="1:26" ht="15.75" customHeight="1" x14ac:dyDescent="0.25">
      <c r="A64" s="146"/>
      <c r="B64" s="146"/>
      <c r="C64" s="146"/>
      <c r="D64" s="146"/>
      <c r="E64" s="146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</row>
    <row r="65" spans="1:26" ht="15.75" customHeight="1" x14ac:dyDescent="0.25">
      <c r="A65" s="146"/>
      <c r="B65" s="146"/>
      <c r="C65" s="146"/>
      <c r="D65" s="146"/>
      <c r="E65" s="146"/>
      <c r="F65" s="146"/>
      <c r="G65" s="146"/>
      <c r="H65" s="146"/>
      <c r="I65" s="146"/>
      <c r="J65" s="146"/>
      <c r="K65" s="146"/>
      <c r="L65" s="146"/>
      <c r="M65" s="146"/>
      <c r="N65" s="146"/>
      <c r="O65" s="146"/>
      <c r="P65" s="146"/>
      <c r="Q65" s="146"/>
      <c r="R65" s="146"/>
      <c r="S65" s="146"/>
      <c r="T65" s="146"/>
      <c r="U65" s="146"/>
      <c r="V65" s="146"/>
      <c r="W65" s="146"/>
      <c r="X65" s="146"/>
      <c r="Y65" s="146"/>
      <c r="Z65" s="146"/>
    </row>
    <row r="66" spans="1:26" ht="15.75" customHeight="1" x14ac:dyDescent="0.25">
      <c r="A66" s="146"/>
      <c r="B66" s="146"/>
      <c r="C66" s="146"/>
      <c r="D66" s="146"/>
      <c r="E66" s="146"/>
      <c r="F66" s="146"/>
      <c r="G66" s="146"/>
      <c r="H66" s="146"/>
      <c r="I66" s="146"/>
      <c r="J66" s="146"/>
      <c r="K66" s="146"/>
      <c r="L66" s="146"/>
      <c r="M66" s="146"/>
      <c r="N66" s="146"/>
      <c r="O66" s="146"/>
      <c r="P66" s="146"/>
      <c r="Q66" s="146"/>
      <c r="R66" s="146"/>
      <c r="S66" s="146"/>
      <c r="T66" s="146"/>
      <c r="U66" s="146"/>
      <c r="V66" s="146"/>
      <c r="W66" s="146"/>
      <c r="X66" s="146"/>
      <c r="Y66" s="146"/>
      <c r="Z66" s="146"/>
    </row>
    <row r="67" spans="1:26" ht="15.75" customHeight="1" x14ac:dyDescent="0.25">
      <c r="A67" s="146"/>
      <c r="B67" s="146"/>
      <c r="C67" s="146"/>
      <c r="D67" s="146"/>
      <c r="E67" s="146"/>
      <c r="F67" s="146"/>
      <c r="G67" s="146"/>
      <c r="H67" s="146"/>
      <c r="I67" s="146"/>
      <c r="J67" s="146"/>
      <c r="K67" s="146"/>
      <c r="L67" s="146"/>
      <c r="M67" s="146"/>
      <c r="N67" s="146"/>
      <c r="O67" s="146"/>
      <c r="P67" s="146"/>
      <c r="Q67" s="146"/>
      <c r="R67" s="146"/>
      <c r="S67" s="146"/>
      <c r="T67" s="146"/>
      <c r="U67" s="146"/>
      <c r="V67" s="146"/>
      <c r="W67" s="146"/>
      <c r="X67" s="146"/>
      <c r="Y67" s="146"/>
      <c r="Z67" s="146"/>
    </row>
    <row r="68" spans="1:26" ht="15.75" customHeight="1" x14ac:dyDescent="0.25">
      <c r="A68" s="146"/>
      <c r="B68" s="146"/>
      <c r="C68" s="146"/>
      <c r="D68" s="146"/>
      <c r="E68" s="146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</row>
    <row r="69" spans="1:26" ht="15.75" customHeight="1" x14ac:dyDescent="0.25">
      <c r="A69" s="146"/>
      <c r="B69" s="146"/>
      <c r="C69" s="146"/>
      <c r="D69" s="146"/>
      <c r="E69" s="146"/>
      <c r="F69" s="146"/>
      <c r="G69" s="146"/>
      <c r="H69" s="146"/>
      <c r="I69" s="146"/>
      <c r="J69" s="146"/>
      <c r="K69" s="146"/>
      <c r="L69" s="146"/>
      <c r="M69" s="146"/>
      <c r="N69" s="146"/>
      <c r="O69" s="146"/>
      <c r="P69" s="146"/>
      <c r="Q69" s="146"/>
      <c r="R69" s="146"/>
      <c r="S69" s="146"/>
      <c r="T69" s="146"/>
      <c r="U69" s="146"/>
      <c r="V69" s="146"/>
      <c r="W69" s="146"/>
      <c r="X69" s="146"/>
      <c r="Y69" s="146"/>
      <c r="Z69" s="146"/>
    </row>
    <row r="70" spans="1:26" ht="15.75" customHeight="1" x14ac:dyDescent="0.25">
      <c r="A70" s="146"/>
      <c r="B70" s="146"/>
      <c r="C70" s="146"/>
      <c r="D70" s="146"/>
      <c r="E70" s="146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</row>
    <row r="71" spans="1:26" ht="15.75" customHeight="1" x14ac:dyDescent="0.25">
      <c r="A71" s="146"/>
      <c r="B71" s="146"/>
      <c r="C71" s="146"/>
      <c r="D71" s="146"/>
      <c r="E71" s="146"/>
      <c r="F71" s="146"/>
      <c r="G71" s="146"/>
      <c r="H71" s="146"/>
      <c r="I71" s="146"/>
      <c r="J71" s="146"/>
      <c r="K71" s="146"/>
      <c r="L71" s="146"/>
      <c r="M71" s="146"/>
      <c r="N71" s="146"/>
      <c r="O71" s="146"/>
      <c r="P71" s="146"/>
      <c r="Q71" s="146"/>
      <c r="R71" s="146"/>
      <c r="S71" s="146"/>
      <c r="T71" s="146"/>
      <c r="U71" s="146"/>
      <c r="V71" s="146"/>
      <c r="W71" s="146"/>
      <c r="X71" s="146"/>
      <c r="Y71" s="146"/>
      <c r="Z71" s="146"/>
    </row>
    <row r="72" spans="1:26" ht="15.75" customHeight="1" x14ac:dyDescent="0.25">
      <c r="A72" s="146"/>
      <c r="B72" s="146"/>
      <c r="C72" s="146"/>
      <c r="D72" s="146"/>
      <c r="E72" s="146"/>
      <c r="F72" s="146"/>
      <c r="G72" s="146"/>
      <c r="H72" s="146"/>
      <c r="I72" s="146"/>
      <c r="J72" s="146"/>
      <c r="K72" s="146"/>
      <c r="L72" s="146"/>
      <c r="M72" s="146"/>
      <c r="N72" s="146"/>
      <c r="O72" s="146"/>
      <c r="P72" s="146"/>
      <c r="Q72" s="146"/>
      <c r="R72" s="146"/>
      <c r="S72" s="146"/>
      <c r="T72" s="146"/>
      <c r="U72" s="146"/>
      <c r="V72" s="146"/>
      <c r="W72" s="146"/>
      <c r="X72" s="146"/>
      <c r="Y72" s="146"/>
      <c r="Z72" s="146"/>
    </row>
    <row r="73" spans="1:26" ht="15.75" customHeight="1" x14ac:dyDescent="0.25">
      <c r="A73" s="146"/>
      <c r="B73" s="146"/>
      <c r="C73" s="146"/>
      <c r="D73" s="146"/>
      <c r="E73" s="146"/>
      <c r="F73" s="146"/>
      <c r="G73" s="146"/>
      <c r="H73" s="146"/>
      <c r="I73" s="146"/>
      <c r="J73" s="146"/>
      <c r="K73" s="146"/>
      <c r="L73" s="146"/>
      <c r="M73" s="146"/>
      <c r="N73" s="146"/>
      <c r="O73" s="146"/>
      <c r="P73" s="146"/>
      <c r="Q73" s="146"/>
      <c r="R73" s="146"/>
      <c r="S73" s="146"/>
      <c r="T73" s="146"/>
      <c r="U73" s="146"/>
      <c r="V73" s="146"/>
      <c r="W73" s="146"/>
      <c r="X73" s="146"/>
      <c r="Y73" s="146"/>
      <c r="Z73" s="146"/>
    </row>
    <row r="74" spans="1:26" ht="15.75" customHeight="1" x14ac:dyDescent="0.25">
      <c r="A74" s="146"/>
      <c r="B74" s="146"/>
      <c r="C74" s="146"/>
      <c r="D74" s="146"/>
      <c r="E74" s="146"/>
      <c r="F74" s="146"/>
      <c r="G74" s="146"/>
      <c r="H74" s="146"/>
      <c r="I74" s="146"/>
      <c r="J74" s="146"/>
      <c r="K74" s="146"/>
      <c r="L74" s="146"/>
      <c r="M74" s="146"/>
      <c r="N74" s="146"/>
      <c r="O74" s="146"/>
      <c r="P74" s="146"/>
      <c r="Q74" s="146"/>
      <c r="R74" s="146"/>
      <c r="S74" s="146"/>
      <c r="T74" s="146"/>
      <c r="U74" s="146"/>
      <c r="V74" s="146"/>
      <c r="W74" s="146"/>
      <c r="X74" s="146"/>
      <c r="Y74" s="146"/>
      <c r="Z74" s="146"/>
    </row>
    <row r="75" spans="1:26" ht="15.75" customHeight="1" x14ac:dyDescent="0.25">
      <c r="A75" s="146"/>
      <c r="B75" s="146"/>
      <c r="C75" s="146"/>
      <c r="D75" s="146"/>
      <c r="E75" s="146"/>
      <c r="F75" s="146"/>
      <c r="G75" s="146"/>
      <c r="H75" s="146"/>
      <c r="I75" s="146"/>
      <c r="J75" s="146"/>
      <c r="K75" s="146"/>
      <c r="L75" s="146"/>
      <c r="M75" s="146"/>
      <c r="N75" s="146"/>
      <c r="O75" s="146"/>
      <c r="P75" s="146"/>
      <c r="Q75" s="146"/>
      <c r="R75" s="146"/>
      <c r="S75" s="146"/>
      <c r="T75" s="146"/>
      <c r="U75" s="146"/>
      <c r="V75" s="146"/>
      <c r="W75" s="146"/>
      <c r="X75" s="146"/>
      <c r="Y75" s="146"/>
      <c r="Z75" s="146"/>
    </row>
    <row r="76" spans="1:26" ht="15.75" customHeight="1" x14ac:dyDescent="0.25">
      <c r="A76" s="146"/>
      <c r="B76" s="146"/>
      <c r="C76" s="146"/>
      <c r="D76" s="146"/>
      <c r="E76" s="146"/>
      <c r="F76" s="146"/>
      <c r="G76" s="146"/>
      <c r="H76" s="146"/>
      <c r="I76" s="146"/>
      <c r="J76" s="146"/>
      <c r="K76" s="146"/>
      <c r="L76" s="146"/>
      <c r="M76" s="146"/>
      <c r="N76" s="146"/>
      <c r="O76" s="146"/>
      <c r="P76" s="146"/>
      <c r="Q76" s="146"/>
      <c r="R76" s="146"/>
      <c r="S76" s="146"/>
      <c r="T76" s="146"/>
      <c r="U76" s="146"/>
      <c r="V76" s="146"/>
      <c r="W76" s="146"/>
      <c r="X76" s="146"/>
      <c r="Y76" s="146"/>
      <c r="Z76" s="146"/>
    </row>
    <row r="77" spans="1:26" ht="15.75" customHeight="1" x14ac:dyDescent="0.25">
      <c r="A77" s="146"/>
      <c r="B77" s="146"/>
      <c r="C77" s="146"/>
      <c r="D77" s="146"/>
      <c r="E77" s="146"/>
      <c r="F77" s="146"/>
      <c r="G77" s="146"/>
      <c r="H77" s="146"/>
      <c r="I77" s="146"/>
      <c r="J77" s="146"/>
      <c r="K77" s="146"/>
      <c r="L77" s="146"/>
      <c r="M77" s="146"/>
      <c r="N77" s="146"/>
      <c r="O77" s="146"/>
      <c r="P77" s="146"/>
      <c r="Q77" s="146"/>
      <c r="R77" s="146"/>
      <c r="S77" s="146"/>
      <c r="T77" s="146"/>
      <c r="U77" s="146"/>
      <c r="V77" s="146"/>
      <c r="W77" s="146"/>
      <c r="X77" s="146"/>
      <c r="Y77" s="146"/>
      <c r="Z77" s="146"/>
    </row>
    <row r="78" spans="1:26" ht="15.75" customHeight="1" x14ac:dyDescent="0.25">
      <c r="A78" s="146"/>
      <c r="B78" s="146"/>
      <c r="C78" s="146"/>
      <c r="D78" s="146"/>
      <c r="E78" s="146"/>
      <c r="F78" s="146"/>
      <c r="G78" s="146"/>
      <c r="H78" s="146"/>
      <c r="I78" s="146"/>
      <c r="J78" s="146"/>
      <c r="K78" s="146"/>
      <c r="L78" s="146"/>
      <c r="M78" s="146"/>
      <c r="N78" s="146"/>
      <c r="O78" s="146"/>
      <c r="P78" s="146"/>
      <c r="Q78" s="146"/>
      <c r="R78" s="146"/>
      <c r="S78" s="146"/>
      <c r="T78" s="146"/>
      <c r="U78" s="146"/>
      <c r="V78" s="146"/>
      <c r="W78" s="146"/>
      <c r="X78" s="146"/>
      <c r="Y78" s="146"/>
      <c r="Z78" s="146"/>
    </row>
    <row r="79" spans="1:26" ht="15.75" customHeight="1" x14ac:dyDescent="0.25">
      <c r="A79" s="146"/>
      <c r="B79" s="146"/>
      <c r="C79" s="146"/>
      <c r="D79" s="146"/>
      <c r="E79" s="146"/>
      <c r="F79" s="146"/>
      <c r="G79" s="146"/>
      <c r="H79" s="146"/>
      <c r="I79" s="146"/>
      <c r="J79" s="146"/>
      <c r="K79" s="146"/>
      <c r="L79" s="146"/>
      <c r="M79" s="146"/>
      <c r="N79" s="146"/>
      <c r="O79" s="146"/>
      <c r="P79" s="146"/>
      <c r="Q79" s="146"/>
      <c r="R79" s="146"/>
      <c r="S79" s="146"/>
      <c r="T79" s="146"/>
      <c r="U79" s="146"/>
      <c r="V79" s="146"/>
      <c r="W79" s="146"/>
      <c r="X79" s="146"/>
      <c r="Y79" s="146"/>
      <c r="Z79" s="146"/>
    </row>
    <row r="80" spans="1:26" ht="15.75" customHeight="1" x14ac:dyDescent="0.25">
      <c r="A80" s="146"/>
      <c r="B80" s="146"/>
      <c r="C80" s="146"/>
      <c r="D80" s="146"/>
      <c r="E80" s="146"/>
      <c r="F80" s="146"/>
      <c r="G80" s="146"/>
      <c r="H80" s="146"/>
      <c r="I80" s="146"/>
      <c r="J80" s="146"/>
      <c r="K80" s="146"/>
      <c r="L80" s="146"/>
      <c r="M80" s="146"/>
      <c r="N80" s="146"/>
      <c r="O80" s="146"/>
      <c r="P80" s="146"/>
      <c r="Q80" s="146"/>
      <c r="R80" s="146"/>
      <c r="S80" s="146"/>
      <c r="T80" s="146"/>
      <c r="U80" s="146"/>
      <c r="V80" s="146"/>
      <c r="W80" s="146"/>
      <c r="X80" s="146"/>
      <c r="Y80" s="146"/>
      <c r="Z80" s="146"/>
    </row>
    <row r="81" spans="1:26" ht="15.75" customHeight="1" x14ac:dyDescent="0.25">
      <c r="A81" s="146"/>
      <c r="B81" s="146"/>
      <c r="C81" s="146"/>
      <c r="D81" s="146"/>
      <c r="E81" s="146"/>
      <c r="F81" s="146"/>
      <c r="G81" s="146"/>
      <c r="H81" s="146"/>
      <c r="I81" s="146"/>
      <c r="J81" s="146"/>
      <c r="K81" s="146"/>
      <c r="L81" s="146"/>
      <c r="M81" s="146"/>
      <c r="N81" s="146"/>
      <c r="O81" s="146"/>
      <c r="P81" s="146"/>
      <c r="Q81" s="146"/>
      <c r="R81" s="146"/>
      <c r="S81" s="146"/>
      <c r="T81" s="146"/>
      <c r="U81" s="146"/>
      <c r="V81" s="146"/>
      <c r="W81" s="146"/>
      <c r="X81" s="146"/>
      <c r="Y81" s="146"/>
      <c r="Z81" s="146"/>
    </row>
    <row r="82" spans="1:26" ht="15.75" customHeight="1" x14ac:dyDescent="0.25">
      <c r="A82" s="146"/>
      <c r="B82" s="146"/>
      <c r="C82" s="146"/>
      <c r="D82" s="146"/>
      <c r="E82" s="146"/>
      <c r="F82" s="146"/>
      <c r="G82" s="146"/>
      <c r="H82" s="146"/>
      <c r="I82" s="146"/>
      <c r="J82" s="146"/>
      <c r="K82" s="146"/>
      <c r="L82" s="146"/>
      <c r="M82" s="146"/>
      <c r="N82" s="146"/>
      <c r="O82" s="146"/>
      <c r="P82" s="146"/>
      <c r="Q82" s="146"/>
      <c r="R82" s="146"/>
      <c r="S82" s="146"/>
      <c r="T82" s="146"/>
      <c r="U82" s="146"/>
      <c r="V82" s="146"/>
      <c r="W82" s="146"/>
      <c r="X82" s="146"/>
      <c r="Y82" s="146"/>
      <c r="Z82" s="146"/>
    </row>
    <row r="83" spans="1:26" ht="15.75" customHeight="1" x14ac:dyDescent="0.25">
      <c r="A83" s="146"/>
      <c r="B83" s="146"/>
      <c r="C83" s="146"/>
      <c r="D83" s="146"/>
      <c r="E83" s="146"/>
      <c r="F83" s="146"/>
      <c r="G83" s="146"/>
      <c r="H83" s="146"/>
      <c r="I83" s="146"/>
      <c r="J83" s="146"/>
      <c r="K83" s="146"/>
      <c r="L83" s="146"/>
      <c r="M83" s="146"/>
      <c r="N83" s="146"/>
      <c r="O83" s="146"/>
      <c r="P83" s="146"/>
      <c r="Q83" s="146"/>
      <c r="R83" s="146"/>
      <c r="S83" s="146"/>
      <c r="T83" s="146"/>
      <c r="U83" s="146"/>
      <c r="V83" s="146"/>
      <c r="W83" s="146"/>
      <c r="X83" s="146"/>
      <c r="Y83" s="146"/>
      <c r="Z83" s="146"/>
    </row>
    <row r="84" spans="1:26" ht="15.75" customHeight="1" x14ac:dyDescent="0.25">
      <c r="A84" s="146"/>
      <c r="B84" s="146"/>
      <c r="C84" s="146"/>
      <c r="D84" s="146"/>
      <c r="E84" s="146"/>
      <c r="F84" s="146"/>
      <c r="G84" s="146"/>
      <c r="H84" s="146"/>
      <c r="I84" s="146"/>
      <c r="J84" s="146"/>
      <c r="K84" s="146"/>
      <c r="L84" s="146"/>
      <c r="M84" s="146"/>
      <c r="N84" s="146"/>
      <c r="O84" s="146"/>
      <c r="P84" s="146"/>
      <c r="Q84" s="146"/>
      <c r="R84" s="146"/>
      <c r="S84" s="146"/>
      <c r="T84" s="146"/>
      <c r="U84" s="146"/>
      <c r="V84" s="146"/>
      <c r="W84" s="146"/>
      <c r="X84" s="146"/>
      <c r="Y84" s="146"/>
      <c r="Z84" s="146"/>
    </row>
    <row r="85" spans="1:26" ht="15.75" customHeight="1" x14ac:dyDescent="0.25">
      <c r="A85" s="146"/>
      <c r="B85" s="146"/>
      <c r="C85" s="146"/>
      <c r="D85" s="146"/>
      <c r="E85" s="146"/>
      <c r="F85" s="146"/>
      <c r="G85" s="146"/>
      <c r="H85" s="146"/>
      <c r="I85" s="146"/>
      <c r="J85" s="146"/>
      <c r="K85" s="146"/>
      <c r="L85" s="146"/>
      <c r="M85" s="146"/>
      <c r="N85" s="146"/>
      <c r="O85" s="146"/>
      <c r="P85" s="146"/>
      <c r="Q85" s="146"/>
      <c r="R85" s="146"/>
      <c r="S85" s="146"/>
      <c r="T85" s="146"/>
      <c r="U85" s="146"/>
      <c r="V85" s="146"/>
      <c r="W85" s="146"/>
      <c r="X85" s="146"/>
      <c r="Y85" s="146"/>
      <c r="Z85" s="146"/>
    </row>
    <row r="86" spans="1:26" ht="15.75" customHeight="1" x14ac:dyDescent="0.25">
      <c r="A86" s="146"/>
      <c r="B86" s="146"/>
      <c r="C86" s="146"/>
      <c r="D86" s="146"/>
      <c r="E86" s="146"/>
      <c r="F86" s="146"/>
      <c r="G86" s="146"/>
      <c r="H86" s="146"/>
      <c r="I86" s="146"/>
      <c r="J86" s="146"/>
      <c r="K86" s="146"/>
      <c r="L86" s="146"/>
      <c r="M86" s="146"/>
      <c r="N86" s="146"/>
      <c r="O86" s="146"/>
      <c r="P86" s="146"/>
      <c r="Q86" s="146"/>
      <c r="R86" s="146"/>
      <c r="S86" s="146"/>
      <c r="T86" s="146"/>
      <c r="U86" s="146"/>
      <c r="V86" s="146"/>
      <c r="W86" s="146"/>
      <c r="X86" s="146"/>
      <c r="Y86" s="146"/>
      <c r="Z86" s="146"/>
    </row>
    <row r="87" spans="1:26" ht="15.75" customHeight="1" x14ac:dyDescent="0.25">
      <c r="A87" s="146"/>
      <c r="B87" s="146"/>
      <c r="C87" s="146"/>
      <c r="D87" s="146"/>
      <c r="E87" s="146"/>
      <c r="F87" s="146"/>
      <c r="G87" s="146"/>
      <c r="H87" s="146"/>
      <c r="I87" s="146"/>
      <c r="J87" s="146"/>
      <c r="K87" s="146"/>
      <c r="L87" s="146"/>
      <c r="M87" s="146"/>
      <c r="N87" s="146"/>
      <c r="O87" s="146"/>
      <c r="P87" s="146"/>
      <c r="Q87" s="146"/>
      <c r="R87" s="146"/>
      <c r="S87" s="146"/>
      <c r="T87" s="146"/>
      <c r="U87" s="146"/>
      <c r="V87" s="146"/>
      <c r="W87" s="146"/>
      <c r="X87" s="146"/>
      <c r="Y87" s="146"/>
      <c r="Z87" s="146"/>
    </row>
    <row r="88" spans="1:26" ht="15.75" customHeight="1" x14ac:dyDescent="0.25">
      <c r="A88" s="146"/>
      <c r="B88" s="146"/>
      <c r="C88" s="146"/>
      <c r="D88" s="146"/>
      <c r="E88" s="146"/>
      <c r="F88" s="146"/>
      <c r="G88" s="146"/>
      <c r="H88" s="146"/>
      <c r="I88" s="146"/>
      <c r="J88" s="146"/>
      <c r="K88" s="146"/>
      <c r="L88" s="146"/>
      <c r="M88" s="146"/>
      <c r="N88" s="146"/>
      <c r="O88" s="146"/>
      <c r="P88" s="146"/>
      <c r="Q88" s="146"/>
      <c r="R88" s="146"/>
      <c r="S88" s="146"/>
      <c r="T88" s="146"/>
      <c r="U88" s="146"/>
      <c r="V88" s="146"/>
      <c r="W88" s="146"/>
      <c r="X88" s="146"/>
      <c r="Y88" s="146"/>
      <c r="Z88" s="146"/>
    </row>
    <row r="89" spans="1:26" ht="15.75" customHeight="1" x14ac:dyDescent="0.25">
      <c r="A89" s="146"/>
      <c r="B89" s="146"/>
      <c r="C89" s="146"/>
      <c r="D89" s="146"/>
      <c r="E89" s="146"/>
      <c r="F89" s="146"/>
      <c r="G89" s="146"/>
      <c r="H89" s="146"/>
      <c r="I89" s="146"/>
      <c r="J89" s="146"/>
      <c r="K89" s="146"/>
      <c r="L89" s="146"/>
      <c r="M89" s="146"/>
      <c r="N89" s="146"/>
      <c r="O89" s="146"/>
      <c r="P89" s="146"/>
      <c r="Q89" s="146"/>
      <c r="R89" s="146"/>
      <c r="S89" s="146"/>
      <c r="T89" s="146"/>
      <c r="U89" s="146"/>
      <c r="V89" s="146"/>
      <c r="W89" s="146"/>
      <c r="X89" s="146"/>
      <c r="Y89" s="146"/>
      <c r="Z89" s="146"/>
    </row>
    <row r="90" spans="1:26" ht="15.75" customHeight="1" x14ac:dyDescent="0.25">
      <c r="A90" s="146"/>
      <c r="B90" s="146"/>
      <c r="C90" s="146"/>
      <c r="D90" s="146"/>
      <c r="E90" s="146"/>
      <c r="F90" s="146"/>
      <c r="G90" s="146"/>
      <c r="H90" s="146"/>
      <c r="I90" s="146"/>
      <c r="J90" s="146"/>
      <c r="K90" s="146"/>
      <c r="L90" s="146"/>
      <c r="M90" s="146"/>
      <c r="N90" s="146"/>
      <c r="O90" s="146"/>
      <c r="P90" s="146"/>
      <c r="Q90" s="146"/>
      <c r="R90" s="146"/>
      <c r="S90" s="146"/>
      <c r="T90" s="146"/>
      <c r="U90" s="146"/>
      <c r="V90" s="146"/>
      <c r="W90" s="146"/>
      <c r="X90" s="146"/>
      <c r="Y90" s="146"/>
      <c r="Z90" s="146"/>
    </row>
    <row r="91" spans="1:26" ht="15.75" customHeight="1" x14ac:dyDescent="0.25">
      <c r="A91" s="146"/>
      <c r="B91" s="146"/>
      <c r="C91" s="146"/>
      <c r="D91" s="146"/>
      <c r="E91" s="146"/>
      <c r="F91" s="146"/>
      <c r="G91" s="146"/>
      <c r="H91" s="146"/>
      <c r="I91" s="146"/>
      <c r="J91" s="146"/>
      <c r="K91" s="146"/>
      <c r="L91" s="146"/>
      <c r="M91" s="146"/>
      <c r="N91" s="146"/>
      <c r="O91" s="146"/>
      <c r="P91" s="146"/>
      <c r="Q91" s="146"/>
      <c r="R91" s="146"/>
      <c r="S91" s="146"/>
      <c r="T91" s="146"/>
      <c r="U91" s="146"/>
      <c r="V91" s="146"/>
      <c r="W91" s="146"/>
      <c r="X91" s="146"/>
      <c r="Y91" s="146"/>
      <c r="Z91" s="146"/>
    </row>
    <row r="92" spans="1:26" ht="15.75" customHeight="1" x14ac:dyDescent="0.25">
      <c r="A92" s="146"/>
      <c r="B92" s="146"/>
      <c r="C92" s="146"/>
      <c r="D92" s="146"/>
      <c r="E92" s="146"/>
      <c r="F92" s="146"/>
      <c r="G92" s="146"/>
      <c r="H92" s="146"/>
      <c r="I92" s="146"/>
      <c r="J92" s="146"/>
      <c r="K92" s="146"/>
      <c r="L92" s="146"/>
      <c r="M92" s="146"/>
      <c r="N92" s="146"/>
      <c r="O92" s="146"/>
      <c r="P92" s="146"/>
      <c r="Q92" s="146"/>
      <c r="R92" s="146"/>
      <c r="S92" s="146"/>
      <c r="T92" s="146"/>
      <c r="U92" s="146"/>
      <c r="V92" s="146"/>
      <c r="W92" s="146"/>
      <c r="X92" s="146"/>
      <c r="Y92" s="146"/>
      <c r="Z92" s="146"/>
    </row>
    <row r="93" spans="1:26" ht="15.75" customHeight="1" x14ac:dyDescent="0.25">
      <c r="A93" s="146"/>
      <c r="B93" s="146"/>
      <c r="C93" s="146"/>
      <c r="D93" s="146"/>
      <c r="E93" s="146"/>
      <c r="F93" s="146"/>
      <c r="G93" s="146"/>
      <c r="H93" s="146"/>
      <c r="I93" s="146"/>
      <c r="J93" s="146"/>
      <c r="K93" s="146"/>
      <c r="L93" s="146"/>
      <c r="M93" s="146"/>
      <c r="N93" s="146"/>
      <c r="O93" s="146"/>
      <c r="P93" s="146"/>
      <c r="Q93" s="146"/>
      <c r="R93" s="146"/>
      <c r="S93" s="146"/>
      <c r="T93" s="146"/>
      <c r="U93" s="146"/>
      <c r="V93" s="146"/>
      <c r="W93" s="146"/>
      <c r="X93" s="146"/>
      <c r="Y93" s="146"/>
      <c r="Z93" s="146"/>
    </row>
    <row r="94" spans="1:26" ht="15.75" customHeight="1" x14ac:dyDescent="0.25">
      <c r="A94" s="146"/>
      <c r="B94" s="146"/>
      <c r="C94" s="146"/>
      <c r="D94" s="146"/>
      <c r="E94" s="146"/>
      <c r="F94" s="146"/>
      <c r="G94" s="146"/>
      <c r="H94" s="146"/>
      <c r="I94" s="146"/>
      <c r="J94" s="146"/>
      <c r="K94" s="146"/>
      <c r="L94" s="146"/>
      <c r="M94" s="146"/>
      <c r="N94" s="146"/>
      <c r="O94" s="146"/>
      <c r="P94" s="146"/>
      <c r="Q94" s="146"/>
      <c r="R94" s="146"/>
      <c r="S94" s="146"/>
      <c r="T94" s="146"/>
      <c r="U94" s="146"/>
      <c r="V94" s="146"/>
      <c r="W94" s="146"/>
      <c r="X94" s="146"/>
      <c r="Y94" s="146"/>
      <c r="Z94" s="146"/>
    </row>
    <row r="95" spans="1:26" ht="15.75" customHeight="1" x14ac:dyDescent="0.25">
      <c r="A95" s="146"/>
      <c r="B95" s="146"/>
      <c r="C95" s="146"/>
      <c r="D95" s="146"/>
      <c r="E95" s="146"/>
      <c r="F95" s="146"/>
      <c r="G95" s="146"/>
      <c r="H95" s="146"/>
      <c r="I95" s="146"/>
      <c r="J95" s="146"/>
      <c r="K95" s="146"/>
      <c r="L95" s="146"/>
      <c r="M95" s="146"/>
      <c r="N95" s="146"/>
      <c r="O95" s="146"/>
      <c r="P95" s="146"/>
      <c r="Q95" s="146"/>
      <c r="R95" s="146"/>
      <c r="S95" s="146"/>
      <c r="T95" s="146"/>
      <c r="U95" s="146"/>
      <c r="V95" s="146"/>
      <c r="W95" s="146"/>
      <c r="X95" s="146"/>
      <c r="Y95" s="146"/>
      <c r="Z95" s="146"/>
    </row>
    <row r="96" spans="1:26" ht="15.75" customHeight="1" x14ac:dyDescent="0.25">
      <c r="A96" s="146"/>
      <c r="B96" s="146"/>
      <c r="C96" s="146"/>
      <c r="D96" s="146"/>
      <c r="E96" s="146"/>
      <c r="F96" s="146"/>
      <c r="G96" s="146"/>
      <c r="H96" s="146"/>
      <c r="I96" s="146"/>
      <c r="J96" s="146"/>
      <c r="K96" s="146"/>
      <c r="L96" s="146"/>
      <c r="M96" s="146"/>
      <c r="N96" s="146"/>
      <c r="O96" s="146"/>
      <c r="P96" s="146"/>
      <c r="Q96" s="146"/>
      <c r="R96" s="146"/>
      <c r="S96" s="146"/>
      <c r="T96" s="146"/>
      <c r="U96" s="146"/>
      <c r="V96" s="146"/>
      <c r="W96" s="146"/>
      <c r="X96" s="146"/>
      <c r="Y96" s="146"/>
      <c r="Z96" s="146"/>
    </row>
    <row r="97" spans="1:26" ht="15.75" customHeight="1" x14ac:dyDescent="0.25">
      <c r="A97" s="146"/>
      <c r="B97" s="146"/>
      <c r="C97" s="146"/>
      <c r="D97" s="146"/>
      <c r="E97" s="146"/>
      <c r="F97" s="146"/>
      <c r="G97" s="146"/>
      <c r="H97" s="146"/>
      <c r="I97" s="146"/>
      <c r="J97" s="146"/>
      <c r="K97" s="146"/>
      <c r="L97" s="146"/>
      <c r="M97" s="146"/>
      <c r="N97" s="146"/>
      <c r="O97" s="146"/>
      <c r="P97" s="146"/>
      <c r="Q97" s="146"/>
      <c r="R97" s="146"/>
      <c r="S97" s="146"/>
      <c r="T97" s="146"/>
      <c r="U97" s="146"/>
      <c r="V97" s="146"/>
      <c r="W97" s="146"/>
      <c r="X97" s="146"/>
      <c r="Y97" s="146"/>
      <c r="Z97" s="146"/>
    </row>
    <row r="98" spans="1:26" ht="15.75" customHeight="1" x14ac:dyDescent="0.25">
      <c r="A98" s="146"/>
      <c r="B98" s="146"/>
      <c r="C98" s="146"/>
      <c r="D98" s="146"/>
      <c r="E98" s="146"/>
      <c r="F98" s="146"/>
      <c r="G98" s="146"/>
      <c r="H98" s="146"/>
      <c r="I98" s="146"/>
      <c r="J98" s="146"/>
      <c r="K98" s="146"/>
      <c r="L98" s="146"/>
      <c r="M98" s="146"/>
      <c r="N98" s="146"/>
      <c r="O98" s="146"/>
      <c r="P98" s="146"/>
      <c r="Q98" s="146"/>
      <c r="R98" s="146"/>
      <c r="S98" s="146"/>
      <c r="T98" s="146"/>
      <c r="U98" s="146"/>
      <c r="V98" s="146"/>
      <c r="W98" s="146"/>
      <c r="X98" s="146"/>
      <c r="Y98" s="146"/>
      <c r="Z98" s="146"/>
    </row>
    <row r="99" spans="1:26" ht="15.75" customHeight="1" x14ac:dyDescent="0.25">
      <c r="A99" s="146"/>
      <c r="B99" s="146"/>
      <c r="C99" s="146"/>
      <c r="D99" s="146"/>
      <c r="E99" s="146"/>
      <c r="F99" s="146"/>
      <c r="G99" s="146"/>
      <c r="H99" s="146"/>
      <c r="I99" s="146"/>
      <c r="J99" s="146"/>
      <c r="K99" s="146"/>
      <c r="L99" s="146"/>
      <c r="M99" s="146"/>
      <c r="N99" s="146"/>
      <c r="O99" s="146"/>
      <c r="P99" s="146"/>
      <c r="Q99" s="146"/>
      <c r="R99" s="146"/>
      <c r="S99" s="146"/>
      <c r="T99" s="146"/>
      <c r="U99" s="146"/>
      <c r="V99" s="146"/>
      <c r="W99" s="146"/>
      <c r="X99" s="146"/>
      <c r="Y99" s="146"/>
      <c r="Z99" s="146"/>
    </row>
    <row r="100" spans="1:26" ht="15.75" customHeight="1" x14ac:dyDescent="0.25">
      <c r="A100" s="146"/>
      <c r="B100" s="146"/>
      <c r="C100" s="146"/>
      <c r="D100" s="146"/>
      <c r="E100" s="146"/>
      <c r="F100" s="146"/>
      <c r="G100" s="146"/>
      <c r="H100" s="146"/>
      <c r="I100" s="146"/>
      <c r="J100" s="146"/>
      <c r="K100" s="146"/>
      <c r="L100" s="146"/>
      <c r="M100" s="146"/>
      <c r="N100" s="146"/>
      <c r="O100" s="146"/>
      <c r="P100" s="146"/>
      <c r="Q100" s="146"/>
      <c r="R100" s="146"/>
      <c r="S100" s="146"/>
      <c r="T100" s="146"/>
      <c r="U100" s="146"/>
      <c r="V100" s="146"/>
      <c r="W100" s="146"/>
      <c r="X100" s="146"/>
      <c r="Y100" s="146"/>
      <c r="Z100" s="146"/>
    </row>
    <row r="101" spans="1:26" ht="15.75" customHeight="1" x14ac:dyDescent="0.25">
      <c r="A101" s="146"/>
      <c r="B101" s="146"/>
      <c r="C101" s="146"/>
      <c r="D101" s="146"/>
      <c r="E101" s="146"/>
      <c r="F101" s="146"/>
      <c r="G101" s="146"/>
      <c r="H101" s="146"/>
      <c r="I101" s="146"/>
      <c r="J101" s="146"/>
      <c r="K101" s="146"/>
      <c r="L101" s="146"/>
      <c r="M101" s="146"/>
      <c r="N101" s="146"/>
      <c r="O101" s="146"/>
      <c r="P101" s="146"/>
      <c r="Q101" s="146"/>
      <c r="R101" s="146"/>
      <c r="S101" s="146"/>
      <c r="T101" s="146"/>
      <c r="U101" s="146"/>
      <c r="V101" s="146"/>
      <c r="W101" s="146"/>
      <c r="X101" s="146"/>
      <c r="Y101" s="146"/>
      <c r="Z101" s="146"/>
    </row>
    <row r="102" spans="1:26" ht="15.75" customHeight="1" x14ac:dyDescent="0.25">
      <c r="A102" s="146"/>
      <c r="B102" s="146"/>
      <c r="C102" s="146"/>
      <c r="D102" s="146"/>
      <c r="E102" s="146"/>
      <c r="F102" s="146"/>
      <c r="G102" s="146"/>
      <c r="H102" s="146"/>
      <c r="I102" s="146"/>
      <c r="J102" s="146"/>
      <c r="K102" s="146"/>
      <c r="L102" s="146"/>
      <c r="M102" s="146"/>
      <c r="N102" s="146"/>
      <c r="O102" s="146"/>
      <c r="P102" s="146"/>
      <c r="Q102" s="146"/>
      <c r="R102" s="146"/>
      <c r="S102" s="146"/>
      <c r="T102" s="146"/>
      <c r="U102" s="146"/>
      <c r="V102" s="146"/>
      <c r="W102" s="146"/>
      <c r="X102" s="146"/>
      <c r="Y102" s="146"/>
      <c r="Z102" s="146"/>
    </row>
    <row r="103" spans="1:26" ht="15.75" customHeight="1" x14ac:dyDescent="0.25">
      <c r="A103" s="146"/>
      <c r="B103" s="146"/>
      <c r="C103" s="146"/>
      <c r="D103" s="146"/>
      <c r="E103" s="146"/>
      <c r="F103" s="146"/>
      <c r="G103" s="146"/>
      <c r="H103" s="146"/>
      <c r="I103" s="146"/>
      <c r="J103" s="146"/>
      <c r="K103" s="146"/>
      <c r="L103" s="146"/>
      <c r="M103" s="146"/>
      <c r="N103" s="146"/>
      <c r="O103" s="146"/>
      <c r="P103" s="146"/>
      <c r="Q103" s="146"/>
      <c r="R103" s="146"/>
      <c r="S103" s="146"/>
      <c r="T103" s="146"/>
      <c r="U103" s="146"/>
      <c r="V103" s="146"/>
      <c r="W103" s="146"/>
      <c r="X103" s="146"/>
      <c r="Y103" s="146"/>
      <c r="Z103" s="146"/>
    </row>
    <row r="104" spans="1:26" ht="15.75" customHeight="1" x14ac:dyDescent="0.25">
      <c r="A104" s="146"/>
      <c r="B104" s="146"/>
      <c r="C104" s="146"/>
      <c r="D104" s="146"/>
      <c r="E104" s="146"/>
      <c r="F104" s="146"/>
      <c r="G104" s="146"/>
      <c r="H104" s="146"/>
      <c r="I104" s="146"/>
      <c r="J104" s="146"/>
      <c r="K104" s="146"/>
      <c r="L104" s="146"/>
      <c r="M104" s="146"/>
      <c r="N104" s="146"/>
      <c r="O104" s="146"/>
      <c r="P104" s="146"/>
      <c r="Q104" s="146"/>
      <c r="R104" s="146"/>
      <c r="S104" s="146"/>
      <c r="T104" s="146"/>
      <c r="U104" s="146"/>
      <c r="V104" s="146"/>
      <c r="W104" s="146"/>
      <c r="X104" s="146"/>
      <c r="Y104" s="146"/>
      <c r="Z104" s="146"/>
    </row>
    <row r="105" spans="1:26" ht="15.75" customHeight="1" x14ac:dyDescent="0.25">
      <c r="A105" s="146"/>
      <c r="B105" s="146"/>
      <c r="C105" s="146"/>
      <c r="D105" s="146"/>
      <c r="E105" s="146"/>
      <c r="F105" s="146"/>
      <c r="G105" s="146"/>
      <c r="H105" s="146"/>
      <c r="I105" s="146"/>
      <c r="J105" s="146"/>
      <c r="K105" s="146"/>
      <c r="L105" s="146"/>
      <c r="M105" s="146"/>
      <c r="N105" s="146"/>
      <c r="O105" s="146"/>
      <c r="P105" s="146"/>
      <c r="Q105" s="146"/>
      <c r="R105" s="146"/>
      <c r="S105" s="146"/>
      <c r="T105" s="146"/>
      <c r="U105" s="146"/>
      <c r="V105" s="146"/>
      <c r="W105" s="146"/>
      <c r="X105" s="146"/>
      <c r="Y105" s="146"/>
      <c r="Z105" s="146"/>
    </row>
    <row r="106" spans="1:26" ht="15.75" customHeight="1" x14ac:dyDescent="0.25">
      <c r="A106" s="146"/>
      <c r="B106" s="146"/>
      <c r="C106" s="146"/>
      <c r="D106" s="146"/>
      <c r="E106" s="146"/>
      <c r="F106" s="146"/>
      <c r="G106" s="146"/>
      <c r="H106" s="146"/>
      <c r="I106" s="146"/>
      <c r="J106" s="146"/>
      <c r="K106" s="146"/>
      <c r="L106" s="146"/>
      <c r="M106" s="146"/>
      <c r="N106" s="146"/>
      <c r="O106" s="146"/>
      <c r="P106" s="146"/>
      <c r="Q106" s="146"/>
      <c r="R106" s="146"/>
      <c r="S106" s="146"/>
      <c r="T106" s="146"/>
      <c r="U106" s="146"/>
      <c r="V106" s="146"/>
      <c r="W106" s="146"/>
      <c r="X106" s="146"/>
      <c r="Y106" s="146"/>
      <c r="Z106" s="146"/>
    </row>
    <row r="107" spans="1:26" ht="15.75" customHeight="1" x14ac:dyDescent="0.25">
      <c r="A107" s="146"/>
      <c r="B107" s="146"/>
      <c r="C107" s="146"/>
      <c r="D107" s="146"/>
      <c r="E107" s="146"/>
      <c r="F107" s="146"/>
      <c r="G107" s="146"/>
      <c r="H107" s="146"/>
      <c r="I107" s="146"/>
      <c r="J107" s="146"/>
      <c r="K107" s="146"/>
      <c r="L107" s="146"/>
      <c r="M107" s="146"/>
      <c r="N107" s="146"/>
      <c r="O107" s="146"/>
      <c r="P107" s="146"/>
      <c r="Q107" s="146"/>
      <c r="R107" s="146"/>
      <c r="S107" s="146"/>
      <c r="T107" s="146"/>
      <c r="U107" s="146"/>
      <c r="V107" s="146"/>
      <c r="W107" s="146"/>
      <c r="X107" s="146"/>
      <c r="Y107" s="146"/>
      <c r="Z107" s="146"/>
    </row>
    <row r="108" spans="1:26" ht="15.75" customHeight="1" x14ac:dyDescent="0.25">
      <c r="A108" s="146"/>
      <c r="B108" s="146"/>
      <c r="C108" s="146"/>
      <c r="D108" s="146"/>
      <c r="E108" s="146"/>
      <c r="F108" s="146"/>
      <c r="G108" s="146"/>
      <c r="H108" s="146"/>
      <c r="I108" s="146"/>
      <c r="J108" s="146"/>
      <c r="K108" s="146"/>
      <c r="L108" s="146"/>
      <c r="M108" s="146"/>
      <c r="N108" s="146"/>
      <c r="O108" s="146"/>
      <c r="P108" s="146"/>
      <c r="Q108" s="146"/>
      <c r="R108" s="146"/>
      <c r="S108" s="146"/>
      <c r="T108" s="146"/>
      <c r="U108" s="146"/>
      <c r="V108" s="146"/>
      <c r="W108" s="146"/>
      <c r="X108" s="146"/>
      <c r="Y108" s="146"/>
      <c r="Z108" s="146"/>
    </row>
    <row r="109" spans="1:26" ht="15.75" customHeight="1" x14ac:dyDescent="0.25">
      <c r="A109" s="146"/>
      <c r="B109" s="146"/>
      <c r="C109" s="146"/>
      <c r="D109" s="146"/>
      <c r="E109" s="146"/>
      <c r="F109" s="146"/>
      <c r="G109" s="146"/>
      <c r="H109" s="146"/>
      <c r="I109" s="146"/>
      <c r="J109" s="146"/>
      <c r="K109" s="146"/>
      <c r="L109" s="146"/>
      <c r="M109" s="146"/>
      <c r="N109" s="146"/>
      <c r="O109" s="146"/>
      <c r="P109" s="146"/>
      <c r="Q109" s="146"/>
      <c r="R109" s="146"/>
      <c r="S109" s="146"/>
      <c r="T109" s="146"/>
      <c r="U109" s="146"/>
      <c r="V109" s="146"/>
      <c r="W109" s="146"/>
      <c r="X109" s="146"/>
      <c r="Y109" s="146"/>
      <c r="Z109" s="146"/>
    </row>
    <row r="110" spans="1:26" ht="15.75" customHeight="1" x14ac:dyDescent="0.25">
      <c r="A110" s="146"/>
      <c r="B110" s="146"/>
      <c r="C110" s="146"/>
      <c r="D110" s="146"/>
      <c r="E110" s="146"/>
      <c r="F110" s="146"/>
      <c r="G110" s="146"/>
      <c r="H110" s="146"/>
      <c r="I110" s="146"/>
      <c r="J110" s="146"/>
      <c r="K110" s="146"/>
      <c r="L110" s="146"/>
      <c r="M110" s="146"/>
      <c r="N110" s="146"/>
      <c r="O110" s="146"/>
      <c r="P110" s="146"/>
      <c r="Q110" s="146"/>
      <c r="R110" s="146"/>
      <c r="S110" s="146"/>
      <c r="T110" s="146"/>
      <c r="U110" s="146"/>
      <c r="V110" s="146"/>
      <c r="W110" s="146"/>
      <c r="X110" s="146"/>
      <c r="Y110" s="146"/>
      <c r="Z110" s="146"/>
    </row>
    <row r="111" spans="1:26" ht="15.75" customHeight="1" x14ac:dyDescent="0.25">
      <c r="A111" s="146"/>
      <c r="B111" s="146"/>
      <c r="C111" s="146"/>
      <c r="D111" s="146"/>
      <c r="E111" s="146"/>
      <c r="F111" s="146"/>
      <c r="G111" s="146"/>
      <c r="H111" s="146"/>
      <c r="I111" s="146"/>
      <c r="J111" s="146"/>
      <c r="K111" s="146"/>
      <c r="L111" s="146"/>
      <c r="M111" s="146"/>
      <c r="N111" s="146"/>
      <c r="O111" s="146"/>
      <c r="P111" s="146"/>
      <c r="Q111" s="146"/>
      <c r="R111" s="146"/>
      <c r="S111" s="146"/>
      <c r="T111" s="146"/>
      <c r="U111" s="146"/>
      <c r="V111" s="146"/>
      <c r="W111" s="146"/>
      <c r="X111" s="146"/>
      <c r="Y111" s="146"/>
      <c r="Z111" s="146"/>
    </row>
    <row r="112" spans="1:26" ht="15.75" customHeight="1" x14ac:dyDescent="0.25">
      <c r="A112" s="146"/>
      <c r="B112" s="146"/>
      <c r="C112" s="146"/>
      <c r="D112" s="146"/>
      <c r="E112" s="146"/>
      <c r="F112" s="146"/>
      <c r="G112" s="146"/>
      <c r="H112" s="146"/>
      <c r="I112" s="146"/>
      <c r="J112" s="146"/>
      <c r="K112" s="146"/>
      <c r="L112" s="146"/>
      <c r="M112" s="146"/>
      <c r="N112" s="146"/>
      <c r="O112" s="146"/>
      <c r="P112" s="146"/>
      <c r="Q112" s="146"/>
      <c r="R112" s="146"/>
      <c r="S112" s="146"/>
      <c r="T112" s="146"/>
      <c r="U112" s="146"/>
      <c r="V112" s="146"/>
      <c r="W112" s="146"/>
      <c r="X112" s="146"/>
      <c r="Y112" s="146"/>
      <c r="Z112" s="146"/>
    </row>
    <row r="113" spans="1:26" ht="15.75" customHeight="1" x14ac:dyDescent="0.25">
      <c r="A113" s="146"/>
      <c r="B113" s="146"/>
      <c r="C113" s="146"/>
      <c r="D113" s="146"/>
      <c r="E113" s="146"/>
      <c r="F113" s="146"/>
      <c r="G113" s="146"/>
      <c r="H113" s="146"/>
      <c r="I113" s="146"/>
      <c r="J113" s="146"/>
      <c r="K113" s="146"/>
      <c r="L113" s="146"/>
      <c r="M113" s="146"/>
      <c r="N113" s="146"/>
      <c r="O113" s="146"/>
      <c r="P113" s="146"/>
      <c r="Q113" s="146"/>
      <c r="R113" s="146"/>
      <c r="S113" s="146"/>
      <c r="T113" s="146"/>
      <c r="U113" s="146"/>
      <c r="V113" s="146"/>
      <c r="W113" s="146"/>
      <c r="X113" s="146"/>
      <c r="Y113" s="146"/>
      <c r="Z113" s="146"/>
    </row>
    <row r="114" spans="1:26" ht="15.75" customHeight="1" x14ac:dyDescent="0.25">
      <c r="A114" s="146"/>
      <c r="B114" s="146"/>
      <c r="C114" s="146"/>
      <c r="D114" s="146"/>
      <c r="E114" s="146"/>
      <c r="F114" s="146"/>
      <c r="G114" s="146"/>
      <c r="H114" s="146"/>
      <c r="I114" s="146"/>
      <c r="J114" s="146"/>
      <c r="K114" s="146"/>
      <c r="L114" s="146"/>
      <c r="M114" s="146"/>
      <c r="N114" s="146"/>
      <c r="O114" s="146"/>
      <c r="P114" s="146"/>
      <c r="Q114" s="146"/>
      <c r="R114" s="146"/>
      <c r="S114" s="146"/>
      <c r="T114" s="146"/>
      <c r="U114" s="146"/>
      <c r="V114" s="146"/>
      <c r="W114" s="146"/>
      <c r="X114" s="146"/>
      <c r="Y114" s="146"/>
      <c r="Z114" s="146"/>
    </row>
    <row r="115" spans="1:26" ht="15.75" customHeight="1" x14ac:dyDescent="0.25">
      <c r="A115" s="146"/>
      <c r="B115" s="146"/>
      <c r="C115" s="146"/>
      <c r="D115" s="146"/>
      <c r="E115" s="146"/>
      <c r="F115" s="146"/>
      <c r="G115" s="146"/>
      <c r="H115" s="146"/>
      <c r="I115" s="146"/>
      <c r="J115" s="146"/>
      <c r="K115" s="146"/>
      <c r="L115" s="146"/>
      <c r="M115" s="146"/>
      <c r="N115" s="146"/>
      <c r="O115" s="146"/>
      <c r="P115" s="146"/>
      <c r="Q115" s="146"/>
      <c r="R115" s="146"/>
      <c r="S115" s="146"/>
      <c r="T115" s="146"/>
      <c r="U115" s="146"/>
      <c r="V115" s="146"/>
      <c r="W115" s="146"/>
      <c r="X115" s="146"/>
      <c r="Y115" s="146"/>
      <c r="Z115" s="146"/>
    </row>
    <row r="116" spans="1:26" ht="15.75" customHeight="1" x14ac:dyDescent="0.25">
      <c r="A116" s="146"/>
      <c r="B116" s="146"/>
      <c r="C116" s="146"/>
      <c r="D116" s="146"/>
      <c r="E116" s="146"/>
      <c r="F116" s="146"/>
      <c r="G116" s="146"/>
      <c r="H116" s="146"/>
      <c r="I116" s="146"/>
      <c r="J116" s="146"/>
      <c r="K116" s="146"/>
      <c r="L116" s="146"/>
      <c r="M116" s="146"/>
      <c r="N116" s="146"/>
      <c r="O116" s="146"/>
      <c r="P116" s="146"/>
      <c r="Q116" s="146"/>
      <c r="R116" s="146"/>
      <c r="S116" s="146"/>
      <c r="T116" s="146"/>
      <c r="U116" s="146"/>
      <c r="V116" s="146"/>
      <c r="W116" s="146"/>
      <c r="X116" s="146"/>
      <c r="Y116" s="146"/>
      <c r="Z116" s="146"/>
    </row>
    <row r="117" spans="1:26" ht="15.75" customHeight="1" x14ac:dyDescent="0.25">
      <c r="A117" s="146"/>
      <c r="B117" s="146"/>
      <c r="C117" s="146"/>
      <c r="D117" s="146"/>
      <c r="E117" s="146"/>
      <c r="F117" s="146"/>
      <c r="G117" s="146"/>
      <c r="H117" s="146"/>
      <c r="I117" s="146"/>
      <c r="J117" s="146"/>
      <c r="K117" s="146"/>
      <c r="L117" s="146"/>
      <c r="M117" s="146"/>
      <c r="N117" s="146"/>
      <c r="O117" s="146"/>
      <c r="P117" s="146"/>
      <c r="Q117" s="146"/>
      <c r="R117" s="146"/>
      <c r="S117" s="146"/>
      <c r="T117" s="146"/>
      <c r="U117" s="146"/>
      <c r="V117" s="146"/>
      <c r="W117" s="146"/>
      <c r="X117" s="146"/>
      <c r="Y117" s="146"/>
      <c r="Z117" s="146"/>
    </row>
    <row r="118" spans="1:26" ht="15.75" customHeight="1" x14ac:dyDescent="0.25">
      <c r="A118" s="146"/>
      <c r="B118" s="146"/>
      <c r="C118" s="146"/>
      <c r="D118" s="146"/>
      <c r="E118" s="146"/>
      <c r="F118" s="146"/>
      <c r="G118" s="146"/>
      <c r="H118" s="146"/>
      <c r="I118" s="146"/>
      <c r="J118" s="146"/>
      <c r="K118" s="146"/>
      <c r="L118" s="146"/>
      <c r="M118" s="146"/>
      <c r="N118" s="146"/>
      <c r="O118" s="146"/>
      <c r="P118" s="146"/>
      <c r="Q118" s="146"/>
      <c r="R118" s="146"/>
      <c r="S118" s="146"/>
      <c r="T118" s="146"/>
      <c r="U118" s="146"/>
      <c r="V118" s="146"/>
      <c r="W118" s="146"/>
      <c r="X118" s="146"/>
      <c r="Y118" s="146"/>
      <c r="Z118" s="146"/>
    </row>
    <row r="119" spans="1:26" ht="15.75" customHeight="1" x14ac:dyDescent="0.25">
      <c r="A119" s="146"/>
      <c r="B119" s="146"/>
      <c r="C119" s="146"/>
      <c r="D119" s="146"/>
      <c r="E119" s="146"/>
      <c r="F119" s="146"/>
      <c r="G119" s="146"/>
      <c r="H119" s="146"/>
      <c r="I119" s="146"/>
      <c r="J119" s="146"/>
      <c r="K119" s="146"/>
      <c r="L119" s="146"/>
      <c r="M119" s="146"/>
      <c r="N119" s="146"/>
      <c r="O119" s="146"/>
      <c r="P119" s="146"/>
      <c r="Q119" s="146"/>
      <c r="R119" s="146"/>
      <c r="S119" s="146"/>
      <c r="T119" s="146"/>
      <c r="U119" s="146"/>
      <c r="V119" s="146"/>
      <c r="W119" s="146"/>
      <c r="X119" s="146"/>
      <c r="Y119" s="146"/>
      <c r="Z119" s="146"/>
    </row>
    <row r="120" spans="1:26" ht="15.75" customHeight="1" x14ac:dyDescent="0.25">
      <c r="A120" s="146"/>
      <c r="B120" s="146"/>
      <c r="C120" s="146"/>
      <c r="D120" s="146"/>
      <c r="E120" s="146"/>
      <c r="F120" s="146"/>
      <c r="G120" s="146"/>
      <c r="H120" s="146"/>
      <c r="I120" s="146"/>
      <c r="J120" s="146"/>
      <c r="K120" s="146"/>
      <c r="L120" s="146"/>
      <c r="M120" s="146"/>
      <c r="N120" s="146"/>
      <c r="O120" s="146"/>
      <c r="P120" s="146"/>
      <c r="Q120" s="146"/>
      <c r="R120" s="146"/>
      <c r="S120" s="146"/>
      <c r="T120" s="146"/>
      <c r="U120" s="146"/>
      <c r="V120" s="146"/>
      <c r="W120" s="146"/>
      <c r="X120" s="146"/>
      <c r="Y120" s="146"/>
      <c r="Z120" s="146"/>
    </row>
    <row r="121" spans="1:26" ht="15.75" customHeight="1" x14ac:dyDescent="0.25">
      <c r="A121" s="146"/>
      <c r="B121" s="146"/>
      <c r="C121" s="146"/>
      <c r="D121" s="146"/>
      <c r="E121" s="146"/>
      <c r="F121" s="146"/>
      <c r="G121" s="146"/>
      <c r="H121" s="146"/>
      <c r="I121" s="146"/>
      <c r="J121" s="146"/>
      <c r="K121" s="146"/>
      <c r="L121" s="146"/>
      <c r="M121" s="146"/>
      <c r="N121" s="146"/>
      <c r="O121" s="146"/>
      <c r="P121" s="146"/>
      <c r="Q121" s="146"/>
      <c r="R121" s="146"/>
      <c r="S121" s="146"/>
      <c r="T121" s="146"/>
      <c r="U121" s="146"/>
      <c r="V121" s="146"/>
      <c r="W121" s="146"/>
      <c r="X121" s="146"/>
      <c r="Y121" s="146"/>
      <c r="Z121" s="146"/>
    </row>
    <row r="122" spans="1:26" ht="15.75" customHeight="1" x14ac:dyDescent="0.25">
      <c r="A122" s="146"/>
      <c r="B122" s="146"/>
      <c r="C122" s="146"/>
      <c r="D122" s="146"/>
      <c r="E122" s="146"/>
      <c r="F122" s="146"/>
      <c r="G122" s="146"/>
      <c r="H122" s="146"/>
      <c r="I122" s="146"/>
      <c r="J122" s="146"/>
      <c r="K122" s="146"/>
      <c r="L122" s="146"/>
      <c r="M122" s="146"/>
      <c r="N122" s="146"/>
      <c r="O122" s="146"/>
      <c r="P122" s="146"/>
      <c r="Q122" s="146"/>
      <c r="R122" s="146"/>
      <c r="S122" s="146"/>
      <c r="T122" s="146"/>
      <c r="U122" s="146"/>
      <c r="V122" s="146"/>
      <c r="W122" s="146"/>
      <c r="X122" s="146"/>
      <c r="Y122" s="146"/>
      <c r="Z122" s="146"/>
    </row>
    <row r="123" spans="1:26" ht="15.75" customHeight="1" x14ac:dyDescent="0.25">
      <c r="A123" s="146"/>
      <c r="B123" s="146"/>
      <c r="C123" s="146"/>
      <c r="D123" s="146"/>
      <c r="E123" s="146"/>
      <c r="F123" s="146"/>
      <c r="G123" s="146"/>
      <c r="H123" s="146"/>
      <c r="I123" s="146"/>
      <c r="J123" s="146"/>
      <c r="K123" s="146"/>
      <c r="L123" s="146"/>
      <c r="M123" s="146"/>
      <c r="N123" s="146"/>
      <c r="O123" s="146"/>
      <c r="P123" s="146"/>
      <c r="Q123" s="146"/>
      <c r="R123" s="146"/>
      <c r="S123" s="146"/>
      <c r="T123" s="146"/>
      <c r="U123" s="146"/>
      <c r="V123" s="146"/>
      <c r="W123" s="146"/>
      <c r="X123" s="146"/>
      <c r="Y123" s="146"/>
      <c r="Z123" s="146"/>
    </row>
    <row r="124" spans="1:26" ht="15.75" customHeight="1" x14ac:dyDescent="0.25">
      <c r="A124" s="146"/>
      <c r="B124" s="146"/>
      <c r="C124" s="146"/>
      <c r="D124" s="146"/>
      <c r="E124" s="146"/>
      <c r="F124" s="146"/>
      <c r="G124" s="146"/>
      <c r="H124" s="146"/>
      <c r="I124" s="146"/>
      <c r="J124" s="146"/>
      <c r="K124" s="146"/>
      <c r="L124" s="146"/>
      <c r="M124" s="146"/>
      <c r="N124" s="146"/>
      <c r="O124" s="146"/>
      <c r="P124" s="146"/>
      <c r="Q124" s="146"/>
      <c r="R124" s="146"/>
      <c r="S124" s="146"/>
      <c r="T124" s="146"/>
      <c r="U124" s="146"/>
      <c r="V124" s="146"/>
      <c r="W124" s="146"/>
      <c r="X124" s="146"/>
      <c r="Y124" s="146"/>
      <c r="Z124" s="146"/>
    </row>
    <row r="125" spans="1:26" ht="15.75" customHeight="1" x14ac:dyDescent="0.25">
      <c r="A125" s="146"/>
      <c r="B125" s="146"/>
      <c r="C125" s="146"/>
      <c r="D125" s="146"/>
      <c r="E125" s="146"/>
      <c r="F125" s="146"/>
      <c r="G125" s="146"/>
      <c r="H125" s="146"/>
      <c r="I125" s="146"/>
      <c r="J125" s="146"/>
      <c r="K125" s="146"/>
      <c r="L125" s="146"/>
      <c r="M125" s="146"/>
      <c r="N125" s="146"/>
      <c r="O125" s="146"/>
      <c r="P125" s="146"/>
      <c r="Q125" s="146"/>
      <c r="R125" s="146"/>
      <c r="S125" s="146"/>
      <c r="T125" s="146"/>
      <c r="U125" s="146"/>
      <c r="V125" s="146"/>
      <c r="W125" s="146"/>
      <c r="X125" s="146"/>
      <c r="Y125" s="146"/>
      <c r="Z125" s="146"/>
    </row>
    <row r="126" spans="1:26" ht="15.75" customHeight="1" x14ac:dyDescent="0.25">
      <c r="A126" s="146"/>
      <c r="B126" s="146"/>
      <c r="C126" s="146"/>
      <c r="D126" s="146"/>
      <c r="E126" s="146"/>
      <c r="F126" s="146"/>
      <c r="G126" s="146"/>
      <c r="H126" s="146"/>
      <c r="I126" s="146"/>
      <c r="J126" s="146"/>
      <c r="K126" s="146"/>
      <c r="L126" s="146"/>
      <c r="M126" s="146"/>
      <c r="N126" s="146"/>
      <c r="O126" s="146"/>
      <c r="P126" s="146"/>
      <c r="Q126" s="146"/>
      <c r="R126" s="146"/>
      <c r="S126" s="146"/>
      <c r="T126" s="146"/>
      <c r="U126" s="146"/>
      <c r="V126" s="146"/>
      <c r="W126" s="146"/>
      <c r="X126" s="146"/>
      <c r="Y126" s="146"/>
      <c r="Z126" s="146"/>
    </row>
    <row r="127" spans="1:26" ht="15.75" customHeight="1" x14ac:dyDescent="0.25">
      <c r="A127" s="146"/>
      <c r="B127" s="146"/>
      <c r="C127" s="146"/>
      <c r="D127" s="146"/>
      <c r="E127" s="146"/>
      <c r="F127" s="146"/>
      <c r="G127" s="146"/>
      <c r="H127" s="146"/>
      <c r="I127" s="146"/>
      <c r="J127" s="146"/>
      <c r="K127" s="146"/>
      <c r="L127" s="146"/>
      <c r="M127" s="146"/>
      <c r="N127" s="146"/>
      <c r="O127" s="146"/>
      <c r="P127" s="146"/>
      <c r="Q127" s="146"/>
      <c r="R127" s="146"/>
      <c r="S127" s="146"/>
      <c r="T127" s="146"/>
      <c r="U127" s="146"/>
      <c r="V127" s="146"/>
      <c r="W127" s="146"/>
      <c r="X127" s="146"/>
      <c r="Y127" s="146"/>
      <c r="Z127" s="146"/>
    </row>
    <row r="128" spans="1:26" ht="15.75" customHeight="1" x14ac:dyDescent="0.25">
      <c r="A128" s="146"/>
      <c r="B128" s="146"/>
      <c r="C128" s="146"/>
      <c r="D128" s="146"/>
      <c r="E128" s="146"/>
      <c r="F128" s="146"/>
      <c r="G128" s="146"/>
      <c r="H128" s="146"/>
      <c r="I128" s="146"/>
      <c r="J128" s="146"/>
      <c r="K128" s="146"/>
      <c r="L128" s="146"/>
      <c r="M128" s="146"/>
      <c r="N128" s="146"/>
      <c r="O128" s="146"/>
      <c r="P128" s="146"/>
      <c r="Q128" s="146"/>
      <c r="R128" s="146"/>
      <c r="S128" s="146"/>
      <c r="T128" s="146"/>
      <c r="U128" s="146"/>
      <c r="V128" s="146"/>
      <c r="W128" s="146"/>
      <c r="X128" s="146"/>
      <c r="Y128" s="146"/>
      <c r="Z128" s="146"/>
    </row>
    <row r="129" spans="1:26" ht="15.75" customHeight="1" x14ac:dyDescent="0.25">
      <c r="A129" s="146"/>
      <c r="B129" s="146"/>
      <c r="C129" s="146"/>
      <c r="D129" s="146"/>
      <c r="E129" s="146"/>
      <c r="F129" s="146"/>
      <c r="G129" s="146"/>
      <c r="H129" s="146"/>
      <c r="I129" s="146"/>
      <c r="J129" s="146"/>
      <c r="K129" s="146"/>
      <c r="L129" s="146"/>
      <c r="M129" s="146"/>
      <c r="N129" s="146"/>
      <c r="O129" s="146"/>
      <c r="P129" s="146"/>
      <c r="Q129" s="146"/>
      <c r="R129" s="146"/>
      <c r="S129" s="146"/>
      <c r="T129" s="146"/>
      <c r="U129" s="146"/>
      <c r="V129" s="146"/>
      <c r="W129" s="146"/>
      <c r="X129" s="146"/>
      <c r="Y129" s="146"/>
      <c r="Z129" s="146"/>
    </row>
    <row r="130" spans="1:26" ht="15.75" customHeight="1" x14ac:dyDescent="0.25">
      <c r="A130" s="146"/>
      <c r="B130" s="146"/>
      <c r="C130" s="146"/>
      <c r="D130" s="146"/>
      <c r="E130" s="146"/>
      <c r="F130" s="146"/>
      <c r="G130" s="146"/>
      <c r="H130" s="146"/>
      <c r="I130" s="146"/>
      <c r="J130" s="146"/>
      <c r="K130" s="146"/>
      <c r="L130" s="146"/>
      <c r="M130" s="146"/>
      <c r="N130" s="146"/>
      <c r="O130" s="146"/>
      <c r="P130" s="146"/>
      <c r="Q130" s="146"/>
      <c r="R130" s="146"/>
      <c r="S130" s="146"/>
      <c r="T130" s="146"/>
      <c r="U130" s="146"/>
      <c r="V130" s="146"/>
      <c r="W130" s="146"/>
      <c r="X130" s="146"/>
      <c r="Y130" s="146"/>
      <c r="Z130" s="146"/>
    </row>
    <row r="131" spans="1:26" ht="15.75" customHeight="1" x14ac:dyDescent="0.25">
      <c r="A131" s="146"/>
      <c r="B131" s="146"/>
      <c r="C131" s="146"/>
      <c r="D131" s="146"/>
      <c r="E131" s="146"/>
      <c r="F131" s="146"/>
      <c r="G131" s="146"/>
      <c r="H131" s="146"/>
      <c r="I131" s="146"/>
      <c r="J131" s="146"/>
      <c r="K131" s="146"/>
      <c r="L131" s="146"/>
      <c r="M131" s="146"/>
      <c r="N131" s="146"/>
      <c r="O131" s="146"/>
      <c r="P131" s="146"/>
      <c r="Q131" s="146"/>
      <c r="R131" s="146"/>
      <c r="S131" s="146"/>
      <c r="T131" s="146"/>
      <c r="U131" s="146"/>
      <c r="V131" s="146"/>
      <c r="W131" s="146"/>
      <c r="X131" s="146"/>
      <c r="Y131" s="146"/>
      <c r="Z131" s="146"/>
    </row>
    <row r="132" spans="1:26" ht="15.75" customHeight="1" x14ac:dyDescent="0.25">
      <c r="A132" s="146"/>
      <c r="B132" s="146"/>
      <c r="C132" s="146"/>
      <c r="D132" s="146"/>
      <c r="E132" s="146"/>
      <c r="F132" s="146"/>
      <c r="G132" s="146"/>
      <c r="H132" s="146"/>
      <c r="I132" s="146"/>
      <c r="J132" s="146"/>
      <c r="K132" s="146"/>
      <c r="L132" s="146"/>
      <c r="M132" s="146"/>
      <c r="N132" s="146"/>
      <c r="O132" s="146"/>
      <c r="P132" s="146"/>
      <c r="Q132" s="146"/>
      <c r="R132" s="146"/>
      <c r="S132" s="146"/>
      <c r="T132" s="146"/>
      <c r="U132" s="146"/>
      <c r="V132" s="146"/>
      <c r="W132" s="146"/>
      <c r="X132" s="146"/>
      <c r="Y132" s="146"/>
      <c r="Z132" s="146"/>
    </row>
    <row r="133" spans="1:26" ht="15.75" customHeight="1" x14ac:dyDescent="0.25">
      <c r="A133" s="146"/>
      <c r="B133" s="146"/>
      <c r="C133" s="146"/>
      <c r="D133" s="146"/>
      <c r="E133" s="146"/>
      <c r="F133" s="146"/>
      <c r="G133" s="146"/>
      <c r="H133" s="146"/>
      <c r="I133" s="146"/>
      <c r="J133" s="146"/>
      <c r="K133" s="146"/>
      <c r="L133" s="146"/>
      <c r="M133" s="146"/>
      <c r="N133" s="146"/>
      <c r="O133" s="146"/>
      <c r="P133" s="146"/>
      <c r="Q133" s="146"/>
      <c r="R133" s="146"/>
      <c r="S133" s="146"/>
      <c r="T133" s="146"/>
      <c r="U133" s="146"/>
      <c r="V133" s="146"/>
      <c r="W133" s="146"/>
      <c r="X133" s="146"/>
      <c r="Y133" s="146"/>
      <c r="Z133" s="146"/>
    </row>
    <row r="134" spans="1:26" ht="15.75" customHeight="1" x14ac:dyDescent="0.25">
      <c r="A134" s="146"/>
      <c r="B134" s="146"/>
      <c r="C134" s="146"/>
      <c r="D134" s="146"/>
      <c r="E134" s="146"/>
      <c r="F134" s="146"/>
      <c r="G134" s="146"/>
      <c r="H134" s="146"/>
      <c r="I134" s="146"/>
      <c r="J134" s="146"/>
      <c r="K134" s="146"/>
      <c r="L134" s="146"/>
      <c r="M134" s="146"/>
      <c r="N134" s="146"/>
      <c r="O134" s="146"/>
      <c r="P134" s="146"/>
      <c r="Q134" s="146"/>
      <c r="R134" s="146"/>
      <c r="S134" s="146"/>
      <c r="T134" s="146"/>
      <c r="U134" s="146"/>
      <c r="V134" s="146"/>
      <c r="W134" s="146"/>
      <c r="X134" s="146"/>
      <c r="Y134" s="146"/>
      <c r="Z134" s="146"/>
    </row>
    <row r="135" spans="1:26" ht="15.75" customHeight="1" x14ac:dyDescent="0.25">
      <c r="A135" s="146"/>
      <c r="B135" s="146"/>
      <c r="C135" s="146"/>
      <c r="D135" s="146"/>
      <c r="E135" s="146"/>
      <c r="F135" s="146"/>
      <c r="G135" s="146"/>
      <c r="H135" s="146"/>
      <c r="I135" s="146"/>
      <c r="J135" s="146"/>
      <c r="K135" s="146"/>
      <c r="L135" s="146"/>
      <c r="M135" s="146"/>
      <c r="N135" s="146"/>
      <c r="O135" s="146"/>
      <c r="P135" s="146"/>
      <c r="Q135" s="146"/>
      <c r="R135" s="146"/>
      <c r="S135" s="146"/>
      <c r="T135" s="146"/>
      <c r="U135" s="146"/>
      <c r="V135" s="146"/>
      <c r="W135" s="146"/>
      <c r="X135" s="146"/>
      <c r="Y135" s="146"/>
      <c r="Z135" s="146"/>
    </row>
    <row r="136" spans="1:26" ht="15.75" customHeight="1" x14ac:dyDescent="0.25">
      <c r="A136" s="146"/>
      <c r="B136" s="146"/>
      <c r="C136" s="146"/>
      <c r="D136" s="146"/>
      <c r="E136" s="146"/>
      <c r="F136" s="146"/>
      <c r="G136" s="146"/>
      <c r="H136" s="146"/>
      <c r="I136" s="146"/>
      <c r="J136" s="146"/>
      <c r="K136" s="146"/>
      <c r="L136" s="146"/>
      <c r="M136" s="146"/>
      <c r="N136" s="146"/>
      <c r="O136" s="146"/>
      <c r="P136" s="146"/>
      <c r="Q136" s="146"/>
      <c r="R136" s="146"/>
      <c r="S136" s="146"/>
      <c r="T136" s="146"/>
      <c r="U136" s="146"/>
      <c r="V136" s="146"/>
      <c r="W136" s="146"/>
      <c r="X136" s="146"/>
      <c r="Y136" s="146"/>
      <c r="Z136" s="146"/>
    </row>
    <row r="137" spans="1:26" ht="15.75" customHeight="1" x14ac:dyDescent="0.25">
      <c r="A137" s="146"/>
      <c r="B137" s="146"/>
      <c r="C137" s="146"/>
      <c r="D137" s="146"/>
      <c r="E137" s="146"/>
      <c r="F137" s="146"/>
      <c r="G137" s="146"/>
      <c r="H137" s="146"/>
      <c r="I137" s="146"/>
      <c r="J137" s="146"/>
      <c r="K137" s="146"/>
      <c r="L137" s="146"/>
      <c r="M137" s="146"/>
      <c r="N137" s="146"/>
      <c r="O137" s="146"/>
      <c r="P137" s="146"/>
      <c r="Q137" s="146"/>
      <c r="R137" s="146"/>
      <c r="S137" s="146"/>
      <c r="T137" s="146"/>
      <c r="U137" s="146"/>
      <c r="V137" s="146"/>
      <c r="W137" s="146"/>
      <c r="X137" s="146"/>
      <c r="Y137" s="146"/>
      <c r="Z137" s="146"/>
    </row>
    <row r="138" spans="1:26" ht="15.75" customHeight="1" x14ac:dyDescent="0.25">
      <c r="A138" s="146"/>
      <c r="B138" s="146"/>
      <c r="C138" s="146"/>
      <c r="D138" s="146"/>
      <c r="E138" s="146"/>
      <c r="F138" s="146"/>
      <c r="G138" s="146"/>
      <c r="H138" s="146"/>
      <c r="I138" s="146"/>
      <c r="J138" s="146"/>
      <c r="K138" s="146"/>
      <c r="L138" s="146"/>
      <c r="M138" s="146"/>
      <c r="N138" s="146"/>
      <c r="O138" s="146"/>
      <c r="P138" s="146"/>
      <c r="Q138" s="146"/>
      <c r="R138" s="146"/>
      <c r="S138" s="146"/>
      <c r="T138" s="146"/>
      <c r="U138" s="146"/>
      <c r="V138" s="146"/>
      <c r="W138" s="146"/>
      <c r="X138" s="146"/>
      <c r="Y138" s="146"/>
      <c r="Z138" s="146"/>
    </row>
    <row r="139" spans="1:26" ht="15.75" customHeight="1" x14ac:dyDescent="0.25">
      <c r="A139" s="146"/>
      <c r="B139" s="146"/>
      <c r="C139" s="146"/>
      <c r="D139" s="146"/>
      <c r="E139" s="146"/>
      <c r="F139" s="146"/>
      <c r="G139" s="146"/>
      <c r="H139" s="146"/>
      <c r="I139" s="146"/>
      <c r="J139" s="146"/>
      <c r="K139" s="146"/>
      <c r="L139" s="146"/>
      <c r="M139" s="146"/>
      <c r="N139" s="146"/>
      <c r="O139" s="146"/>
      <c r="P139" s="146"/>
      <c r="Q139" s="146"/>
      <c r="R139" s="146"/>
      <c r="S139" s="146"/>
      <c r="T139" s="146"/>
      <c r="U139" s="146"/>
      <c r="V139" s="146"/>
      <c r="W139" s="146"/>
      <c r="X139" s="146"/>
      <c r="Y139" s="146"/>
      <c r="Z139" s="146"/>
    </row>
    <row r="140" spans="1:26" ht="15.75" customHeight="1" x14ac:dyDescent="0.25">
      <c r="A140" s="146"/>
      <c r="B140" s="146"/>
      <c r="C140" s="146"/>
      <c r="D140" s="146"/>
      <c r="E140" s="146"/>
      <c r="F140" s="146"/>
      <c r="G140" s="146"/>
      <c r="H140" s="146"/>
      <c r="I140" s="146"/>
      <c r="J140" s="146"/>
      <c r="K140" s="146"/>
      <c r="L140" s="146"/>
      <c r="M140" s="146"/>
      <c r="N140" s="146"/>
      <c r="O140" s="146"/>
      <c r="P140" s="146"/>
      <c r="Q140" s="146"/>
      <c r="R140" s="146"/>
      <c r="S140" s="146"/>
      <c r="T140" s="146"/>
      <c r="U140" s="146"/>
      <c r="V140" s="146"/>
      <c r="W140" s="146"/>
      <c r="X140" s="146"/>
      <c r="Y140" s="146"/>
      <c r="Z140" s="146"/>
    </row>
    <row r="141" spans="1:26" ht="15.75" customHeight="1" x14ac:dyDescent="0.25">
      <c r="A141" s="146"/>
      <c r="B141" s="146"/>
      <c r="C141" s="146"/>
      <c r="D141" s="146"/>
      <c r="E141" s="146"/>
      <c r="F141" s="146"/>
      <c r="G141" s="146"/>
      <c r="H141" s="146"/>
      <c r="I141" s="146"/>
      <c r="J141" s="146"/>
      <c r="K141" s="146"/>
      <c r="L141" s="146"/>
      <c r="M141" s="146"/>
      <c r="N141" s="146"/>
      <c r="O141" s="146"/>
      <c r="P141" s="146"/>
      <c r="Q141" s="146"/>
      <c r="R141" s="146"/>
      <c r="S141" s="146"/>
      <c r="T141" s="146"/>
      <c r="U141" s="146"/>
      <c r="V141" s="146"/>
      <c r="W141" s="146"/>
      <c r="X141" s="146"/>
      <c r="Y141" s="146"/>
      <c r="Z141" s="146"/>
    </row>
    <row r="142" spans="1:26" ht="15.75" customHeight="1" x14ac:dyDescent="0.25">
      <c r="A142" s="146"/>
      <c r="B142" s="146"/>
      <c r="C142" s="146"/>
      <c r="D142" s="146"/>
      <c r="E142" s="146"/>
      <c r="F142" s="146"/>
      <c r="G142" s="146"/>
      <c r="H142" s="146"/>
      <c r="I142" s="146"/>
      <c r="J142" s="146"/>
      <c r="K142" s="146"/>
      <c r="L142" s="146"/>
      <c r="M142" s="146"/>
      <c r="N142" s="146"/>
      <c r="O142" s="146"/>
      <c r="P142" s="146"/>
      <c r="Q142" s="146"/>
      <c r="R142" s="146"/>
      <c r="S142" s="146"/>
      <c r="T142" s="146"/>
      <c r="U142" s="146"/>
      <c r="V142" s="146"/>
      <c r="W142" s="146"/>
      <c r="X142" s="146"/>
      <c r="Y142" s="146"/>
      <c r="Z142" s="146"/>
    </row>
    <row r="143" spans="1:26" ht="15.75" customHeight="1" x14ac:dyDescent="0.25">
      <c r="A143" s="146"/>
      <c r="B143" s="146"/>
      <c r="C143" s="146"/>
      <c r="D143" s="146"/>
      <c r="E143" s="146"/>
      <c r="F143" s="146"/>
      <c r="G143" s="146"/>
      <c r="H143" s="146"/>
      <c r="I143" s="146"/>
      <c r="J143" s="146"/>
      <c r="K143" s="146"/>
      <c r="L143" s="146"/>
      <c r="M143" s="146"/>
      <c r="N143" s="146"/>
      <c r="O143" s="146"/>
      <c r="P143" s="146"/>
      <c r="Q143" s="146"/>
      <c r="R143" s="146"/>
      <c r="S143" s="146"/>
      <c r="T143" s="146"/>
      <c r="U143" s="146"/>
      <c r="V143" s="146"/>
      <c r="W143" s="146"/>
      <c r="X143" s="146"/>
      <c r="Y143" s="146"/>
      <c r="Z143" s="146"/>
    </row>
    <row r="144" spans="1:26" ht="15.75" customHeight="1" x14ac:dyDescent="0.25">
      <c r="A144" s="146"/>
      <c r="B144" s="146"/>
      <c r="C144" s="146"/>
      <c r="D144" s="146"/>
      <c r="E144" s="146"/>
      <c r="F144" s="146"/>
      <c r="G144" s="146"/>
      <c r="H144" s="146"/>
      <c r="I144" s="146"/>
      <c r="J144" s="146"/>
      <c r="K144" s="146"/>
      <c r="L144" s="146"/>
      <c r="M144" s="146"/>
      <c r="N144" s="146"/>
      <c r="O144" s="146"/>
      <c r="P144" s="146"/>
      <c r="Q144" s="146"/>
      <c r="R144" s="146"/>
      <c r="S144" s="146"/>
      <c r="T144" s="146"/>
      <c r="U144" s="146"/>
      <c r="V144" s="146"/>
      <c r="W144" s="146"/>
      <c r="X144" s="146"/>
      <c r="Y144" s="146"/>
      <c r="Z144" s="146"/>
    </row>
    <row r="145" spans="1:26" ht="15.75" customHeight="1" x14ac:dyDescent="0.25">
      <c r="A145" s="146"/>
      <c r="B145" s="146"/>
      <c r="C145" s="146"/>
      <c r="D145" s="146"/>
      <c r="E145" s="146"/>
      <c r="F145" s="146"/>
      <c r="G145" s="146"/>
      <c r="H145" s="146"/>
      <c r="I145" s="146"/>
      <c r="J145" s="146"/>
      <c r="K145" s="146"/>
      <c r="L145" s="146"/>
      <c r="M145" s="146"/>
      <c r="N145" s="146"/>
      <c r="O145" s="146"/>
      <c r="P145" s="146"/>
      <c r="Q145" s="146"/>
      <c r="R145" s="146"/>
      <c r="S145" s="146"/>
      <c r="T145" s="146"/>
      <c r="U145" s="146"/>
      <c r="V145" s="146"/>
      <c r="W145" s="146"/>
      <c r="X145" s="146"/>
      <c r="Y145" s="146"/>
      <c r="Z145" s="146"/>
    </row>
    <row r="146" spans="1:26" ht="15.75" customHeight="1" x14ac:dyDescent="0.25">
      <c r="A146" s="146"/>
      <c r="B146" s="146"/>
      <c r="C146" s="146"/>
      <c r="D146" s="146"/>
      <c r="E146" s="146"/>
      <c r="F146" s="146"/>
      <c r="G146" s="146"/>
      <c r="H146" s="146"/>
      <c r="I146" s="146"/>
      <c r="J146" s="146"/>
      <c r="K146" s="146"/>
      <c r="L146" s="146"/>
      <c r="M146" s="146"/>
      <c r="N146" s="146"/>
      <c r="O146" s="146"/>
      <c r="P146" s="146"/>
      <c r="Q146" s="146"/>
      <c r="R146" s="146"/>
      <c r="S146" s="146"/>
      <c r="T146" s="146"/>
      <c r="U146" s="146"/>
      <c r="V146" s="146"/>
      <c r="W146" s="146"/>
      <c r="X146" s="146"/>
      <c r="Y146" s="146"/>
      <c r="Z146" s="146"/>
    </row>
    <row r="147" spans="1:26" ht="15.75" customHeight="1" x14ac:dyDescent="0.25">
      <c r="A147" s="146"/>
      <c r="B147" s="146"/>
      <c r="C147" s="146"/>
      <c r="D147" s="146"/>
      <c r="E147" s="146"/>
      <c r="F147" s="146"/>
      <c r="G147" s="146"/>
      <c r="H147" s="146"/>
      <c r="I147" s="146"/>
      <c r="J147" s="146"/>
      <c r="K147" s="146"/>
      <c r="L147" s="146"/>
      <c r="M147" s="146"/>
      <c r="N147" s="146"/>
      <c r="O147" s="146"/>
      <c r="P147" s="146"/>
      <c r="Q147" s="146"/>
      <c r="R147" s="146"/>
      <c r="S147" s="146"/>
      <c r="T147" s="146"/>
      <c r="U147" s="146"/>
      <c r="V147" s="146"/>
      <c r="W147" s="146"/>
      <c r="X147" s="146"/>
      <c r="Y147" s="146"/>
      <c r="Z147" s="146"/>
    </row>
    <row r="148" spans="1:26" ht="15.75" customHeight="1" x14ac:dyDescent="0.25">
      <c r="A148" s="146"/>
      <c r="B148" s="146"/>
      <c r="C148" s="146"/>
      <c r="D148" s="146"/>
      <c r="E148" s="146"/>
      <c r="F148" s="146"/>
      <c r="G148" s="146"/>
      <c r="H148" s="146"/>
      <c r="I148" s="146"/>
      <c r="J148" s="146"/>
      <c r="K148" s="146"/>
      <c r="L148" s="146"/>
      <c r="M148" s="146"/>
      <c r="N148" s="146"/>
      <c r="O148" s="146"/>
      <c r="P148" s="146"/>
      <c r="Q148" s="146"/>
      <c r="R148" s="146"/>
      <c r="S148" s="146"/>
      <c r="T148" s="146"/>
      <c r="U148" s="146"/>
      <c r="V148" s="146"/>
      <c r="W148" s="146"/>
      <c r="X148" s="146"/>
      <c r="Y148" s="146"/>
      <c r="Z148" s="146"/>
    </row>
    <row r="149" spans="1:26" ht="15.75" customHeight="1" x14ac:dyDescent="0.25">
      <c r="A149" s="146"/>
      <c r="B149" s="146"/>
      <c r="C149" s="146"/>
      <c r="D149" s="146"/>
      <c r="E149" s="146"/>
      <c r="F149" s="146"/>
      <c r="G149" s="146"/>
      <c r="H149" s="146"/>
      <c r="I149" s="146"/>
      <c r="J149" s="146"/>
      <c r="K149" s="146"/>
      <c r="L149" s="146"/>
      <c r="M149" s="146"/>
      <c r="N149" s="146"/>
      <c r="O149" s="146"/>
      <c r="P149" s="146"/>
      <c r="Q149" s="146"/>
      <c r="R149" s="146"/>
      <c r="S149" s="146"/>
      <c r="T149" s="146"/>
      <c r="U149" s="146"/>
      <c r="V149" s="146"/>
      <c r="W149" s="146"/>
      <c r="X149" s="146"/>
      <c r="Y149" s="146"/>
      <c r="Z149" s="146"/>
    </row>
    <row r="150" spans="1:26" ht="15.75" customHeight="1" x14ac:dyDescent="0.25">
      <c r="A150" s="146"/>
      <c r="B150" s="146"/>
      <c r="C150" s="146"/>
      <c r="D150" s="146"/>
      <c r="E150" s="146"/>
      <c r="F150" s="146"/>
      <c r="G150" s="146"/>
      <c r="H150" s="146"/>
      <c r="I150" s="146"/>
      <c r="J150" s="146"/>
      <c r="K150" s="146"/>
      <c r="L150" s="146"/>
      <c r="M150" s="146"/>
      <c r="N150" s="146"/>
      <c r="O150" s="146"/>
      <c r="P150" s="146"/>
      <c r="Q150" s="146"/>
      <c r="R150" s="146"/>
      <c r="S150" s="146"/>
      <c r="T150" s="146"/>
      <c r="U150" s="146"/>
      <c r="V150" s="146"/>
      <c r="W150" s="146"/>
      <c r="X150" s="146"/>
      <c r="Y150" s="146"/>
      <c r="Z150" s="146"/>
    </row>
    <row r="151" spans="1:26" ht="15.75" customHeight="1" x14ac:dyDescent="0.25">
      <c r="A151" s="146"/>
      <c r="B151" s="146"/>
      <c r="C151" s="146"/>
      <c r="D151" s="146"/>
      <c r="E151" s="146"/>
      <c r="F151" s="146"/>
      <c r="G151" s="146"/>
      <c r="H151" s="146"/>
      <c r="I151" s="146"/>
      <c r="J151" s="146"/>
      <c r="K151" s="146"/>
      <c r="L151" s="146"/>
      <c r="M151" s="146"/>
      <c r="N151" s="146"/>
      <c r="O151" s="146"/>
      <c r="P151" s="146"/>
      <c r="Q151" s="146"/>
      <c r="R151" s="146"/>
      <c r="S151" s="146"/>
      <c r="T151" s="146"/>
      <c r="U151" s="146"/>
      <c r="V151" s="146"/>
      <c r="W151" s="146"/>
      <c r="X151" s="146"/>
      <c r="Y151" s="146"/>
      <c r="Z151" s="146"/>
    </row>
    <row r="152" spans="1:26" ht="15.75" customHeight="1" x14ac:dyDescent="0.25">
      <c r="A152" s="146"/>
      <c r="B152" s="146"/>
      <c r="C152" s="146"/>
      <c r="D152" s="146"/>
      <c r="E152" s="146"/>
      <c r="F152" s="146"/>
      <c r="G152" s="146"/>
      <c r="H152" s="146"/>
      <c r="I152" s="146"/>
      <c r="J152" s="146"/>
      <c r="K152" s="146"/>
      <c r="L152" s="146"/>
      <c r="M152" s="146"/>
      <c r="N152" s="146"/>
      <c r="O152" s="146"/>
      <c r="P152" s="146"/>
      <c r="Q152" s="146"/>
      <c r="R152" s="146"/>
      <c r="S152" s="146"/>
      <c r="T152" s="146"/>
      <c r="U152" s="146"/>
      <c r="V152" s="146"/>
      <c r="W152" s="146"/>
      <c r="X152" s="146"/>
      <c r="Y152" s="146"/>
      <c r="Z152" s="146"/>
    </row>
    <row r="153" spans="1:26" ht="15.75" customHeight="1" x14ac:dyDescent="0.25">
      <c r="A153" s="146"/>
      <c r="B153" s="146"/>
      <c r="C153" s="146"/>
      <c r="D153" s="146"/>
      <c r="E153" s="146"/>
      <c r="F153" s="146"/>
      <c r="G153" s="146"/>
      <c r="H153" s="146"/>
      <c r="I153" s="146"/>
      <c r="J153" s="146"/>
      <c r="K153" s="146"/>
      <c r="L153" s="146"/>
      <c r="M153" s="146"/>
      <c r="N153" s="146"/>
      <c r="O153" s="146"/>
      <c r="P153" s="146"/>
      <c r="Q153" s="146"/>
      <c r="R153" s="146"/>
      <c r="S153" s="146"/>
      <c r="T153" s="146"/>
      <c r="U153" s="146"/>
      <c r="V153" s="146"/>
      <c r="W153" s="146"/>
      <c r="X153" s="146"/>
      <c r="Y153" s="146"/>
      <c r="Z153" s="146"/>
    </row>
    <row r="154" spans="1:26" ht="15.75" customHeight="1" x14ac:dyDescent="0.25">
      <c r="A154" s="146"/>
      <c r="B154" s="146"/>
      <c r="C154" s="146"/>
      <c r="D154" s="146"/>
      <c r="E154" s="146"/>
      <c r="F154" s="146"/>
      <c r="G154" s="146"/>
      <c r="H154" s="146"/>
      <c r="I154" s="146"/>
      <c r="J154" s="146"/>
      <c r="K154" s="146"/>
      <c r="L154" s="146"/>
      <c r="M154" s="146"/>
      <c r="N154" s="146"/>
      <c r="O154" s="146"/>
      <c r="P154" s="146"/>
      <c r="Q154" s="146"/>
      <c r="R154" s="146"/>
      <c r="S154" s="146"/>
      <c r="T154" s="146"/>
      <c r="U154" s="146"/>
      <c r="V154" s="146"/>
      <c r="W154" s="146"/>
      <c r="X154" s="146"/>
      <c r="Y154" s="146"/>
      <c r="Z154" s="146"/>
    </row>
    <row r="155" spans="1:26" ht="15.75" customHeight="1" x14ac:dyDescent="0.25">
      <c r="A155" s="146"/>
      <c r="B155" s="146"/>
      <c r="C155" s="146"/>
      <c r="D155" s="146"/>
      <c r="E155" s="146"/>
      <c r="F155" s="146"/>
      <c r="G155" s="146"/>
      <c r="H155" s="146"/>
      <c r="I155" s="146"/>
      <c r="J155" s="146"/>
      <c r="K155" s="146"/>
      <c r="L155" s="146"/>
      <c r="M155" s="146"/>
      <c r="N155" s="146"/>
      <c r="O155" s="146"/>
      <c r="P155" s="146"/>
      <c r="Q155" s="146"/>
      <c r="R155" s="146"/>
      <c r="S155" s="146"/>
      <c r="T155" s="146"/>
      <c r="U155" s="146"/>
      <c r="V155" s="146"/>
      <c r="W155" s="146"/>
      <c r="X155" s="146"/>
      <c r="Y155" s="146"/>
      <c r="Z155" s="146"/>
    </row>
    <row r="156" spans="1:26" ht="15.75" customHeight="1" x14ac:dyDescent="0.25">
      <c r="A156" s="146"/>
      <c r="B156" s="146"/>
      <c r="C156" s="146"/>
      <c r="D156" s="146"/>
      <c r="E156" s="146"/>
      <c r="F156" s="146"/>
      <c r="G156" s="146"/>
      <c r="H156" s="146"/>
      <c r="I156" s="146"/>
      <c r="J156" s="146"/>
      <c r="K156" s="146"/>
      <c r="L156" s="146"/>
      <c r="M156" s="146"/>
      <c r="N156" s="146"/>
      <c r="O156" s="146"/>
      <c r="P156" s="146"/>
      <c r="Q156" s="146"/>
      <c r="R156" s="146"/>
      <c r="S156" s="146"/>
      <c r="T156" s="146"/>
      <c r="U156" s="146"/>
      <c r="V156" s="146"/>
      <c r="W156" s="146"/>
      <c r="X156" s="146"/>
      <c r="Y156" s="146"/>
      <c r="Z156" s="146"/>
    </row>
    <row r="157" spans="1:26" ht="15.75" customHeight="1" x14ac:dyDescent="0.25">
      <c r="A157" s="146"/>
      <c r="B157" s="146"/>
      <c r="C157" s="146"/>
      <c r="D157" s="146"/>
      <c r="E157" s="146"/>
      <c r="F157" s="146"/>
      <c r="G157" s="146"/>
      <c r="H157" s="146"/>
      <c r="I157" s="146"/>
      <c r="J157" s="146"/>
      <c r="K157" s="146"/>
      <c r="L157" s="146"/>
      <c r="M157" s="146"/>
      <c r="N157" s="146"/>
      <c r="O157" s="146"/>
      <c r="P157" s="146"/>
      <c r="Q157" s="146"/>
      <c r="R157" s="146"/>
      <c r="S157" s="146"/>
      <c r="T157" s="146"/>
      <c r="U157" s="146"/>
      <c r="V157" s="146"/>
      <c r="W157" s="146"/>
      <c r="X157" s="146"/>
      <c r="Y157" s="146"/>
      <c r="Z157" s="146"/>
    </row>
    <row r="158" spans="1:26" ht="15.75" customHeight="1" x14ac:dyDescent="0.25">
      <c r="A158" s="146"/>
      <c r="B158" s="146"/>
      <c r="C158" s="146"/>
      <c r="D158" s="146"/>
      <c r="E158" s="146"/>
      <c r="F158" s="146"/>
      <c r="G158" s="146"/>
      <c r="H158" s="146"/>
      <c r="I158" s="146"/>
      <c r="J158" s="146"/>
      <c r="K158" s="146"/>
      <c r="L158" s="146"/>
      <c r="M158" s="146"/>
      <c r="N158" s="146"/>
      <c r="O158" s="146"/>
      <c r="P158" s="146"/>
      <c r="Q158" s="146"/>
      <c r="R158" s="146"/>
      <c r="S158" s="146"/>
      <c r="T158" s="146"/>
      <c r="U158" s="146"/>
      <c r="V158" s="146"/>
      <c r="W158" s="146"/>
      <c r="X158" s="146"/>
      <c r="Y158" s="146"/>
      <c r="Z158" s="146"/>
    </row>
    <row r="159" spans="1:26" ht="15.75" customHeight="1" x14ac:dyDescent="0.25">
      <c r="A159" s="146"/>
      <c r="B159" s="146"/>
      <c r="C159" s="146"/>
      <c r="D159" s="146"/>
      <c r="E159" s="146"/>
      <c r="F159" s="146"/>
      <c r="G159" s="146"/>
      <c r="H159" s="146"/>
      <c r="I159" s="146"/>
      <c r="J159" s="146"/>
      <c r="K159" s="146"/>
      <c r="L159" s="146"/>
      <c r="M159" s="146"/>
      <c r="N159" s="146"/>
      <c r="O159" s="146"/>
      <c r="P159" s="146"/>
      <c r="Q159" s="146"/>
      <c r="R159" s="146"/>
      <c r="S159" s="146"/>
      <c r="T159" s="146"/>
      <c r="U159" s="146"/>
      <c r="V159" s="146"/>
      <c r="W159" s="146"/>
      <c r="X159" s="146"/>
      <c r="Y159" s="146"/>
      <c r="Z159" s="146"/>
    </row>
    <row r="160" spans="1:26" ht="15.75" customHeight="1" x14ac:dyDescent="0.25">
      <c r="A160" s="146"/>
      <c r="B160" s="146"/>
      <c r="C160" s="146"/>
      <c r="D160" s="146"/>
      <c r="E160" s="146"/>
      <c r="F160" s="146"/>
      <c r="G160" s="146"/>
      <c r="H160" s="146"/>
      <c r="I160" s="146"/>
      <c r="J160" s="146"/>
      <c r="K160" s="146"/>
      <c r="L160" s="146"/>
      <c r="M160" s="146"/>
      <c r="N160" s="146"/>
      <c r="O160" s="146"/>
      <c r="P160" s="146"/>
      <c r="Q160" s="146"/>
      <c r="R160" s="146"/>
      <c r="S160" s="146"/>
      <c r="T160" s="146"/>
      <c r="U160" s="146"/>
      <c r="V160" s="146"/>
      <c r="W160" s="146"/>
      <c r="X160" s="146"/>
      <c r="Y160" s="146"/>
      <c r="Z160" s="146"/>
    </row>
    <row r="161" spans="1:26" ht="15.75" customHeight="1" x14ac:dyDescent="0.25">
      <c r="A161" s="146"/>
      <c r="B161" s="146"/>
      <c r="C161" s="146"/>
      <c r="D161" s="146"/>
      <c r="E161" s="146"/>
      <c r="F161" s="146"/>
      <c r="G161" s="146"/>
      <c r="H161" s="146"/>
      <c r="I161" s="146"/>
      <c r="J161" s="146"/>
      <c r="K161" s="146"/>
      <c r="L161" s="146"/>
      <c r="M161" s="146"/>
      <c r="N161" s="146"/>
      <c r="O161" s="146"/>
      <c r="P161" s="146"/>
      <c r="Q161" s="146"/>
      <c r="R161" s="146"/>
      <c r="S161" s="146"/>
      <c r="T161" s="146"/>
      <c r="U161" s="146"/>
      <c r="V161" s="146"/>
      <c r="W161" s="146"/>
      <c r="X161" s="146"/>
      <c r="Y161" s="146"/>
      <c r="Z161" s="146"/>
    </row>
    <row r="162" spans="1:26" ht="15.75" customHeight="1" x14ac:dyDescent="0.25">
      <c r="A162" s="146"/>
      <c r="B162" s="146"/>
      <c r="C162" s="146"/>
      <c r="D162" s="146"/>
      <c r="E162" s="146"/>
      <c r="F162" s="146"/>
      <c r="G162" s="146"/>
      <c r="H162" s="146"/>
      <c r="I162" s="146"/>
      <c r="J162" s="146"/>
      <c r="K162" s="146"/>
      <c r="L162" s="146"/>
      <c r="M162" s="146"/>
      <c r="N162" s="146"/>
      <c r="O162" s="146"/>
      <c r="P162" s="146"/>
      <c r="Q162" s="146"/>
      <c r="R162" s="146"/>
      <c r="S162" s="146"/>
      <c r="T162" s="146"/>
      <c r="U162" s="146"/>
      <c r="V162" s="146"/>
      <c r="W162" s="146"/>
      <c r="X162" s="146"/>
      <c r="Y162" s="146"/>
      <c r="Z162" s="146"/>
    </row>
    <row r="163" spans="1:26" ht="15.75" customHeight="1" x14ac:dyDescent="0.25">
      <c r="A163" s="146"/>
      <c r="B163" s="146"/>
      <c r="C163" s="146"/>
      <c r="D163" s="146"/>
      <c r="E163" s="146"/>
      <c r="F163" s="146"/>
      <c r="G163" s="146"/>
      <c r="H163" s="146"/>
      <c r="I163" s="146"/>
      <c r="J163" s="146"/>
      <c r="K163" s="146"/>
      <c r="L163" s="146"/>
      <c r="M163" s="146"/>
      <c r="N163" s="146"/>
      <c r="O163" s="146"/>
      <c r="P163" s="146"/>
      <c r="Q163" s="146"/>
      <c r="R163" s="146"/>
      <c r="S163" s="146"/>
      <c r="T163" s="146"/>
      <c r="U163" s="146"/>
      <c r="V163" s="146"/>
      <c r="W163" s="146"/>
      <c r="X163" s="146"/>
      <c r="Y163" s="146"/>
      <c r="Z163" s="146"/>
    </row>
    <row r="164" spans="1:26" ht="15.75" customHeight="1" x14ac:dyDescent="0.25">
      <c r="A164" s="146"/>
      <c r="B164" s="146"/>
      <c r="C164" s="146"/>
      <c r="D164" s="146"/>
      <c r="E164" s="146"/>
      <c r="F164" s="146"/>
      <c r="G164" s="146"/>
      <c r="H164" s="146"/>
      <c r="I164" s="146"/>
      <c r="J164" s="146"/>
      <c r="K164" s="146"/>
      <c r="L164" s="146"/>
      <c r="M164" s="146"/>
      <c r="N164" s="146"/>
      <c r="O164" s="146"/>
      <c r="P164" s="146"/>
      <c r="Q164" s="146"/>
      <c r="R164" s="146"/>
      <c r="S164" s="146"/>
      <c r="T164" s="146"/>
      <c r="U164" s="146"/>
      <c r="V164" s="146"/>
      <c r="W164" s="146"/>
      <c r="X164" s="146"/>
      <c r="Y164" s="146"/>
      <c r="Z164" s="146"/>
    </row>
    <row r="165" spans="1:26" ht="15.75" customHeight="1" x14ac:dyDescent="0.25">
      <c r="A165" s="146"/>
      <c r="B165" s="146"/>
      <c r="C165" s="146"/>
      <c r="D165" s="146"/>
      <c r="E165" s="146"/>
      <c r="F165" s="146"/>
      <c r="G165" s="146"/>
      <c r="H165" s="146"/>
      <c r="I165" s="146"/>
      <c r="J165" s="146"/>
      <c r="K165" s="146"/>
      <c r="L165" s="146"/>
      <c r="M165" s="146"/>
      <c r="N165" s="146"/>
      <c r="O165" s="146"/>
      <c r="P165" s="146"/>
      <c r="Q165" s="146"/>
      <c r="R165" s="146"/>
      <c r="S165" s="146"/>
      <c r="T165" s="146"/>
      <c r="U165" s="146"/>
      <c r="V165" s="146"/>
      <c r="W165" s="146"/>
      <c r="X165" s="146"/>
      <c r="Y165" s="146"/>
      <c r="Z165" s="146"/>
    </row>
    <row r="166" spans="1:26" ht="15.75" customHeight="1" x14ac:dyDescent="0.25">
      <c r="A166" s="146"/>
      <c r="B166" s="146"/>
      <c r="C166" s="146"/>
      <c r="D166" s="146"/>
      <c r="E166" s="146"/>
      <c r="F166" s="146"/>
      <c r="G166" s="146"/>
      <c r="H166" s="146"/>
      <c r="I166" s="146"/>
      <c r="J166" s="146"/>
      <c r="K166" s="146"/>
      <c r="L166" s="146"/>
      <c r="M166" s="146"/>
      <c r="N166" s="146"/>
      <c r="O166" s="146"/>
      <c r="P166" s="146"/>
      <c r="Q166" s="146"/>
      <c r="R166" s="146"/>
      <c r="S166" s="146"/>
      <c r="T166" s="146"/>
      <c r="U166" s="146"/>
      <c r="V166" s="146"/>
      <c r="W166" s="146"/>
      <c r="X166" s="146"/>
      <c r="Y166" s="146"/>
      <c r="Z166" s="146"/>
    </row>
    <row r="167" spans="1:26" ht="15.75" customHeight="1" x14ac:dyDescent="0.25">
      <c r="A167" s="146"/>
      <c r="B167" s="146"/>
      <c r="C167" s="146"/>
      <c r="D167" s="146"/>
      <c r="E167" s="146"/>
      <c r="F167" s="146"/>
      <c r="G167" s="146"/>
      <c r="H167" s="146"/>
      <c r="I167" s="146"/>
      <c r="J167" s="146"/>
      <c r="K167" s="146"/>
      <c r="L167" s="146"/>
      <c r="M167" s="146"/>
      <c r="N167" s="146"/>
      <c r="O167" s="146"/>
      <c r="P167" s="146"/>
      <c r="Q167" s="146"/>
      <c r="R167" s="146"/>
      <c r="S167" s="146"/>
      <c r="T167" s="146"/>
      <c r="U167" s="146"/>
      <c r="V167" s="146"/>
      <c r="W167" s="146"/>
      <c r="X167" s="146"/>
      <c r="Y167" s="146"/>
      <c r="Z167" s="146"/>
    </row>
    <row r="168" spans="1:26" ht="15.75" customHeight="1" x14ac:dyDescent="0.25">
      <c r="A168" s="146"/>
      <c r="B168" s="146"/>
      <c r="C168" s="146"/>
      <c r="D168" s="146"/>
      <c r="E168" s="146"/>
      <c r="F168" s="146"/>
      <c r="G168" s="146"/>
      <c r="H168" s="146"/>
      <c r="I168" s="146"/>
      <c r="J168" s="146"/>
      <c r="K168" s="146"/>
      <c r="L168" s="146"/>
      <c r="M168" s="146"/>
      <c r="N168" s="146"/>
      <c r="O168" s="146"/>
      <c r="P168" s="146"/>
      <c r="Q168" s="146"/>
      <c r="R168" s="146"/>
      <c r="S168" s="146"/>
      <c r="T168" s="146"/>
      <c r="U168" s="146"/>
      <c r="V168" s="146"/>
      <c r="W168" s="146"/>
      <c r="X168" s="146"/>
      <c r="Y168" s="146"/>
      <c r="Z168" s="146"/>
    </row>
    <row r="169" spans="1:26" ht="15.75" customHeight="1" x14ac:dyDescent="0.25">
      <c r="A169" s="146"/>
      <c r="B169" s="146"/>
      <c r="C169" s="146"/>
      <c r="D169" s="146"/>
      <c r="E169" s="146"/>
      <c r="F169" s="146"/>
      <c r="G169" s="146"/>
      <c r="H169" s="146"/>
      <c r="I169" s="146"/>
      <c r="J169" s="146"/>
      <c r="K169" s="146"/>
      <c r="L169" s="146"/>
      <c r="M169" s="146"/>
      <c r="N169" s="146"/>
      <c r="O169" s="146"/>
      <c r="P169" s="146"/>
      <c r="Q169" s="146"/>
      <c r="R169" s="146"/>
      <c r="S169" s="146"/>
      <c r="T169" s="146"/>
      <c r="U169" s="146"/>
      <c r="V169" s="146"/>
      <c r="W169" s="146"/>
      <c r="X169" s="146"/>
      <c r="Y169" s="146"/>
      <c r="Z169" s="146"/>
    </row>
    <row r="170" spans="1:26" ht="15.75" customHeight="1" x14ac:dyDescent="0.25">
      <c r="A170" s="146"/>
      <c r="B170" s="146"/>
      <c r="C170" s="146"/>
      <c r="D170" s="146"/>
      <c r="E170" s="146"/>
      <c r="F170" s="146"/>
      <c r="G170" s="146"/>
      <c r="H170" s="146"/>
      <c r="I170" s="146"/>
      <c r="J170" s="146"/>
      <c r="K170" s="146"/>
      <c r="L170" s="146"/>
      <c r="M170" s="146"/>
      <c r="N170" s="146"/>
      <c r="O170" s="146"/>
      <c r="P170" s="146"/>
      <c r="Q170" s="146"/>
      <c r="R170" s="146"/>
      <c r="S170" s="146"/>
      <c r="T170" s="146"/>
      <c r="U170" s="146"/>
      <c r="V170" s="146"/>
      <c r="W170" s="146"/>
      <c r="X170" s="146"/>
      <c r="Y170" s="146"/>
      <c r="Z170" s="146"/>
    </row>
    <row r="171" spans="1:26" ht="15.75" customHeight="1" x14ac:dyDescent="0.25">
      <c r="A171" s="146"/>
      <c r="B171" s="146"/>
      <c r="C171" s="146"/>
      <c r="D171" s="146"/>
      <c r="E171" s="146"/>
      <c r="F171" s="146"/>
      <c r="G171" s="146"/>
      <c r="H171" s="146"/>
      <c r="I171" s="146"/>
      <c r="J171" s="146"/>
      <c r="K171" s="146"/>
      <c r="L171" s="146"/>
      <c r="M171" s="146"/>
      <c r="N171" s="146"/>
      <c r="O171" s="146"/>
      <c r="P171" s="146"/>
      <c r="Q171" s="146"/>
      <c r="R171" s="146"/>
      <c r="S171" s="146"/>
      <c r="T171" s="146"/>
      <c r="U171" s="146"/>
      <c r="V171" s="146"/>
      <c r="W171" s="146"/>
      <c r="X171" s="146"/>
      <c r="Y171" s="146"/>
      <c r="Z171" s="146"/>
    </row>
    <row r="172" spans="1:26" ht="15.75" customHeight="1" x14ac:dyDescent="0.25">
      <c r="A172" s="146"/>
      <c r="B172" s="146"/>
      <c r="C172" s="146"/>
      <c r="D172" s="146"/>
      <c r="E172" s="146"/>
      <c r="F172" s="146"/>
      <c r="G172" s="146"/>
      <c r="H172" s="146"/>
      <c r="I172" s="146"/>
      <c r="J172" s="146"/>
      <c r="K172" s="146"/>
      <c r="L172" s="146"/>
      <c r="M172" s="146"/>
      <c r="N172" s="146"/>
      <c r="O172" s="146"/>
      <c r="P172" s="146"/>
      <c r="Q172" s="146"/>
      <c r="R172" s="146"/>
      <c r="S172" s="146"/>
      <c r="T172" s="146"/>
      <c r="U172" s="146"/>
      <c r="V172" s="146"/>
      <c r="W172" s="146"/>
      <c r="X172" s="146"/>
      <c r="Y172" s="146"/>
      <c r="Z172" s="146"/>
    </row>
    <row r="173" spans="1:26" ht="15.75" customHeight="1" x14ac:dyDescent="0.25">
      <c r="A173" s="146"/>
      <c r="B173" s="146"/>
      <c r="C173" s="146"/>
      <c r="D173" s="146"/>
      <c r="E173" s="146"/>
      <c r="F173" s="146"/>
      <c r="G173" s="146"/>
      <c r="H173" s="146"/>
      <c r="I173" s="146"/>
      <c r="J173" s="146"/>
      <c r="K173" s="146"/>
      <c r="L173" s="146"/>
      <c r="M173" s="146"/>
      <c r="N173" s="146"/>
      <c r="O173" s="146"/>
      <c r="P173" s="146"/>
      <c r="Q173" s="146"/>
      <c r="R173" s="146"/>
      <c r="S173" s="146"/>
      <c r="T173" s="146"/>
      <c r="U173" s="146"/>
      <c r="V173" s="146"/>
      <c r="W173" s="146"/>
      <c r="X173" s="146"/>
      <c r="Y173" s="146"/>
      <c r="Z173" s="146"/>
    </row>
    <row r="174" spans="1:26" ht="15.75" customHeight="1" x14ac:dyDescent="0.25">
      <c r="A174" s="146"/>
      <c r="B174" s="146"/>
      <c r="C174" s="146"/>
      <c r="D174" s="146"/>
      <c r="E174" s="146"/>
      <c r="F174" s="146"/>
      <c r="G174" s="146"/>
      <c r="H174" s="146"/>
      <c r="I174" s="146"/>
      <c r="J174" s="146"/>
      <c r="K174" s="146"/>
      <c r="L174" s="146"/>
      <c r="M174" s="146"/>
      <c r="N174" s="146"/>
      <c r="O174" s="146"/>
      <c r="P174" s="146"/>
      <c r="Q174" s="146"/>
      <c r="R174" s="146"/>
      <c r="S174" s="146"/>
      <c r="T174" s="146"/>
      <c r="U174" s="146"/>
      <c r="V174" s="146"/>
      <c r="W174" s="146"/>
      <c r="X174" s="146"/>
      <c r="Y174" s="146"/>
      <c r="Z174" s="146"/>
    </row>
    <row r="175" spans="1:26" ht="15.75" customHeight="1" x14ac:dyDescent="0.25">
      <c r="A175" s="146"/>
      <c r="B175" s="146"/>
      <c r="C175" s="146"/>
      <c r="D175" s="146"/>
      <c r="E175" s="146"/>
      <c r="F175" s="146"/>
      <c r="G175" s="146"/>
      <c r="H175" s="146"/>
      <c r="I175" s="146"/>
      <c r="J175" s="146"/>
      <c r="K175" s="146"/>
      <c r="L175" s="146"/>
      <c r="M175" s="146"/>
      <c r="N175" s="146"/>
      <c r="O175" s="146"/>
      <c r="P175" s="146"/>
      <c r="Q175" s="146"/>
      <c r="R175" s="146"/>
      <c r="S175" s="146"/>
      <c r="T175" s="146"/>
      <c r="U175" s="146"/>
      <c r="V175" s="146"/>
      <c r="W175" s="146"/>
      <c r="X175" s="146"/>
      <c r="Y175" s="146"/>
      <c r="Z175" s="146"/>
    </row>
    <row r="176" spans="1:26" ht="15.75" customHeight="1" x14ac:dyDescent="0.25">
      <c r="A176" s="146"/>
      <c r="B176" s="146"/>
      <c r="C176" s="146"/>
      <c r="D176" s="146"/>
      <c r="E176" s="146"/>
      <c r="F176" s="146"/>
      <c r="G176" s="146"/>
      <c r="H176" s="146"/>
      <c r="I176" s="146"/>
      <c r="J176" s="146"/>
      <c r="K176" s="146"/>
      <c r="L176" s="146"/>
      <c r="M176" s="146"/>
      <c r="N176" s="146"/>
      <c r="O176" s="146"/>
      <c r="P176" s="146"/>
      <c r="Q176" s="146"/>
      <c r="R176" s="146"/>
      <c r="S176" s="146"/>
      <c r="T176" s="146"/>
      <c r="U176" s="146"/>
      <c r="V176" s="146"/>
      <c r="W176" s="146"/>
      <c r="X176" s="146"/>
      <c r="Y176" s="146"/>
      <c r="Z176" s="146"/>
    </row>
    <row r="177" spans="1:26" ht="15.75" customHeight="1" x14ac:dyDescent="0.25">
      <c r="A177" s="146"/>
      <c r="B177" s="146"/>
      <c r="C177" s="146"/>
      <c r="D177" s="146"/>
      <c r="E177" s="146"/>
      <c r="F177" s="146"/>
      <c r="G177" s="146"/>
      <c r="H177" s="146"/>
      <c r="I177" s="146"/>
      <c r="J177" s="146"/>
      <c r="K177" s="146"/>
      <c r="L177" s="146"/>
      <c r="M177" s="146"/>
      <c r="N177" s="146"/>
      <c r="O177" s="146"/>
      <c r="P177" s="146"/>
      <c r="Q177" s="146"/>
      <c r="R177" s="146"/>
      <c r="S177" s="146"/>
      <c r="T177" s="146"/>
      <c r="U177" s="146"/>
      <c r="V177" s="146"/>
      <c r="W177" s="146"/>
      <c r="X177" s="146"/>
      <c r="Y177" s="146"/>
      <c r="Z177" s="146"/>
    </row>
    <row r="178" spans="1:26" ht="15.75" customHeight="1" x14ac:dyDescent="0.25">
      <c r="A178" s="146"/>
      <c r="B178" s="146"/>
      <c r="C178" s="146"/>
      <c r="D178" s="146"/>
      <c r="E178" s="146"/>
      <c r="F178" s="146"/>
      <c r="G178" s="146"/>
      <c r="H178" s="146"/>
      <c r="I178" s="146"/>
      <c r="J178" s="146"/>
      <c r="K178" s="146"/>
      <c r="L178" s="146"/>
      <c r="M178" s="146"/>
      <c r="N178" s="146"/>
      <c r="O178" s="146"/>
      <c r="P178" s="146"/>
      <c r="Q178" s="146"/>
      <c r="R178" s="146"/>
      <c r="S178" s="146"/>
      <c r="T178" s="146"/>
      <c r="U178" s="146"/>
      <c r="V178" s="146"/>
      <c r="W178" s="146"/>
      <c r="X178" s="146"/>
      <c r="Y178" s="146"/>
      <c r="Z178" s="146"/>
    </row>
    <row r="179" spans="1:26" ht="15.75" customHeight="1" x14ac:dyDescent="0.25">
      <c r="A179" s="146"/>
      <c r="B179" s="146"/>
      <c r="C179" s="146"/>
      <c r="D179" s="146"/>
      <c r="E179" s="146"/>
      <c r="F179" s="146"/>
      <c r="G179" s="146"/>
      <c r="H179" s="146"/>
      <c r="I179" s="146"/>
      <c r="J179" s="146"/>
      <c r="K179" s="146"/>
      <c r="L179" s="146"/>
      <c r="M179" s="146"/>
      <c r="N179" s="146"/>
      <c r="O179" s="146"/>
      <c r="P179" s="146"/>
      <c r="Q179" s="146"/>
      <c r="R179" s="146"/>
      <c r="S179" s="146"/>
      <c r="T179" s="146"/>
      <c r="U179" s="146"/>
      <c r="V179" s="146"/>
      <c r="W179" s="146"/>
      <c r="X179" s="146"/>
      <c r="Y179" s="146"/>
      <c r="Z179" s="146"/>
    </row>
    <row r="180" spans="1:26" ht="15.75" customHeight="1" x14ac:dyDescent="0.25">
      <c r="A180" s="146"/>
      <c r="B180" s="146"/>
      <c r="C180" s="146"/>
      <c r="D180" s="146"/>
      <c r="E180" s="146"/>
      <c r="F180" s="146"/>
      <c r="G180" s="146"/>
      <c r="H180" s="146"/>
      <c r="I180" s="146"/>
      <c r="J180" s="146"/>
      <c r="K180" s="146"/>
      <c r="L180" s="146"/>
      <c r="M180" s="146"/>
      <c r="N180" s="146"/>
      <c r="O180" s="146"/>
      <c r="P180" s="146"/>
      <c r="Q180" s="146"/>
      <c r="R180" s="146"/>
      <c r="S180" s="146"/>
      <c r="T180" s="146"/>
      <c r="U180" s="146"/>
      <c r="V180" s="146"/>
      <c r="W180" s="146"/>
      <c r="X180" s="146"/>
      <c r="Y180" s="146"/>
      <c r="Z180" s="146"/>
    </row>
    <row r="181" spans="1:26" ht="15.75" customHeight="1" x14ac:dyDescent="0.25">
      <c r="A181" s="146"/>
      <c r="B181" s="146"/>
      <c r="C181" s="146"/>
      <c r="D181" s="146"/>
      <c r="E181" s="146"/>
      <c r="F181" s="146"/>
      <c r="G181" s="146"/>
      <c r="H181" s="146"/>
      <c r="I181" s="146"/>
      <c r="J181" s="146"/>
      <c r="K181" s="146"/>
      <c r="L181" s="146"/>
      <c r="M181" s="146"/>
      <c r="N181" s="146"/>
      <c r="O181" s="146"/>
      <c r="P181" s="146"/>
      <c r="Q181" s="146"/>
      <c r="R181" s="146"/>
      <c r="S181" s="146"/>
      <c r="T181" s="146"/>
      <c r="U181" s="146"/>
      <c r="V181" s="146"/>
      <c r="W181" s="146"/>
      <c r="X181" s="146"/>
      <c r="Y181" s="146"/>
      <c r="Z181" s="146"/>
    </row>
    <row r="182" spans="1:26" ht="15.75" customHeight="1" x14ac:dyDescent="0.25">
      <c r="A182" s="146"/>
      <c r="B182" s="146"/>
      <c r="C182" s="146"/>
      <c r="D182" s="146"/>
      <c r="E182" s="146"/>
      <c r="F182" s="146"/>
      <c r="G182" s="146"/>
      <c r="H182" s="146"/>
      <c r="I182" s="146"/>
      <c r="J182" s="146"/>
      <c r="K182" s="146"/>
      <c r="L182" s="146"/>
      <c r="M182" s="146"/>
      <c r="N182" s="146"/>
      <c r="O182" s="146"/>
      <c r="P182" s="146"/>
      <c r="Q182" s="146"/>
      <c r="R182" s="146"/>
      <c r="S182" s="146"/>
      <c r="T182" s="146"/>
      <c r="U182" s="146"/>
      <c r="V182" s="146"/>
      <c r="W182" s="146"/>
      <c r="X182" s="146"/>
      <c r="Y182" s="146"/>
      <c r="Z182" s="146"/>
    </row>
    <row r="183" spans="1:26" ht="15.75" customHeight="1" x14ac:dyDescent="0.25">
      <c r="A183" s="146"/>
      <c r="B183" s="146"/>
      <c r="C183" s="146"/>
      <c r="D183" s="146"/>
      <c r="E183" s="146"/>
      <c r="F183" s="146"/>
      <c r="G183" s="146"/>
      <c r="H183" s="146"/>
      <c r="I183" s="146"/>
      <c r="J183" s="146"/>
      <c r="K183" s="146"/>
      <c r="L183" s="146"/>
      <c r="M183" s="146"/>
      <c r="N183" s="146"/>
      <c r="O183" s="146"/>
      <c r="P183" s="146"/>
      <c r="Q183" s="146"/>
      <c r="R183" s="146"/>
      <c r="S183" s="146"/>
      <c r="T183" s="146"/>
      <c r="U183" s="146"/>
      <c r="V183" s="146"/>
      <c r="W183" s="146"/>
      <c r="X183" s="146"/>
      <c r="Y183" s="146"/>
      <c r="Z183" s="146"/>
    </row>
    <row r="184" spans="1:26" ht="15.75" customHeight="1" x14ac:dyDescent="0.25">
      <c r="A184" s="146"/>
      <c r="B184" s="146"/>
      <c r="C184" s="146"/>
      <c r="D184" s="146"/>
      <c r="E184" s="146"/>
      <c r="F184" s="146"/>
      <c r="G184" s="146"/>
      <c r="H184" s="146"/>
      <c r="I184" s="146"/>
      <c r="J184" s="146"/>
      <c r="K184" s="146"/>
      <c r="L184" s="146"/>
      <c r="M184" s="146"/>
      <c r="N184" s="146"/>
      <c r="O184" s="146"/>
      <c r="P184" s="146"/>
      <c r="Q184" s="146"/>
      <c r="R184" s="146"/>
      <c r="S184" s="146"/>
      <c r="T184" s="146"/>
      <c r="U184" s="146"/>
      <c r="V184" s="146"/>
      <c r="W184" s="146"/>
      <c r="X184" s="146"/>
      <c r="Y184" s="146"/>
      <c r="Z184" s="146"/>
    </row>
    <row r="185" spans="1:26" ht="15.75" customHeight="1" x14ac:dyDescent="0.25">
      <c r="A185" s="146"/>
      <c r="B185" s="146"/>
      <c r="C185" s="146"/>
      <c r="D185" s="146"/>
      <c r="E185" s="146"/>
      <c r="F185" s="146"/>
      <c r="G185" s="146"/>
      <c r="H185" s="146"/>
      <c r="I185" s="146"/>
      <c r="J185" s="146"/>
      <c r="K185" s="146"/>
      <c r="L185" s="146"/>
      <c r="M185" s="146"/>
      <c r="N185" s="146"/>
      <c r="O185" s="146"/>
      <c r="P185" s="146"/>
      <c r="Q185" s="146"/>
      <c r="R185" s="146"/>
      <c r="S185" s="146"/>
      <c r="T185" s="146"/>
      <c r="U185" s="146"/>
      <c r="V185" s="146"/>
      <c r="W185" s="146"/>
      <c r="X185" s="146"/>
      <c r="Y185" s="146"/>
      <c r="Z185" s="146"/>
    </row>
    <row r="186" spans="1:26" ht="15.75" customHeight="1" x14ac:dyDescent="0.25">
      <c r="A186" s="146"/>
      <c r="B186" s="146"/>
      <c r="C186" s="146"/>
      <c r="D186" s="146"/>
      <c r="E186" s="146"/>
      <c r="F186" s="146"/>
      <c r="G186" s="146"/>
      <c r="H186" s="146"/>
      <c r="I186" s="146"/>
      <c r="J186" s="146"/>
      <c r="K186" s="146"/>
      <c r="L186" s="146"/>
      <c r="M186" s="146"/>
      <c r="N186" s="146"/>
      <c r="O186" s="146"/>
      <c r="P186" s="146"/>
      <c r="Q186" s="146"/>
      <c r="R186" s="146"/>
      <c r="S186" s="146"/>
      <c r="T186" s="146"/>
      <c r="U186" s="146"/>
      <c r="V186" s="146"/>
      <c r="W186" s="146"/>
      <c r="X186" s="146"/>
      <c r="Y186" s="146"/>
      <c r="Z186" s="146"/>
    </row>
    <row r="187" spans="1:26" ht="15.75" customHeight="1" x14ac:dyDescent="0.25">
      <c r="A187" s="146"/>
      <c r="B187" s="146"/>
      <c r="C187" s="146"/>
      <c r="D187" s="146"/>
      <c r="E187" s="146"/>
      <c r="F187" s="146"/>
      <c r="G187" s="146"/>
      <c r="H187" s="146"/>
      <c r="I187" s="146"/>
      <c r="J187" s="146"/>
      <c r="K187" s="146"/>
      <c r="L187" s="146"/>
      <c r="M187" s="146"/>
      <c r="N187" s="146"/>
      <c r="O187" s="146"/>
      <c r="P187" s="146"/>
      <c r="Q187" s="146"/>
      <c r="R187" s="146"/>
      <c r="S187" s="146"/>
      <c r="T187" s="146"/>
      <c r="U187" s="146"/>
      <c r="V187" s="146"/>
      <c r="W187" s="146"/>
      <c r="X187" s="146"/>
      <c r="Y187" s="146"/>
      <c r="Z187" s="146"/>
    </row>
    <row r="188" spans="1:26" ht="15.75" customHeight="1" x14ac:dyDescent="0.25">
      <c r="A188" s="146"/>
      <c r="B188" s="146"/>
      <c r="C188" s="146"/>
      <c r="D188" s="146"/>
      <c r="E188" s="146"/>
      <c r="F188" s="146"/>
      <c r="G188" s="146"/>
      <c r="H188" s="146"/>
      <c r="I188" s="146"/>
      <c r="J188" s="146"/>
      <c r="K188" s="146"/>
      <c r="L188" s="146"/>
      <c r="M188" s="146"/>
      <c r="N188" s="146"/>
      <c r="O188" s="146"/>
      <c r="P188" s="146"/>
      <c r="Q188" s="146"/>
      <c r="R188" s="146"/>
      <c r="S188" s="146"/>
      <c r="T188" s="146"/>
      <c r="U188" s="146"/>
      <c r="V188" s="146"/>
      <c r="W188" s="146"/>
      <c r="X188" s="146"/>
      <c r="Y188" s="146"/>
      <c r="Z188" s="146"/>
    </row>
    <row r="189" spans="1:26" ht="15.75" customHeight="1" x14ac:dyDescent="0.25">
      <c r="A189" s="146"/>
      <c r="B189" s="146"/>
      <c r="C189" s="146"/>
      <c r="D189" s="146"/>
      <c r="E189" s="146"/>
      <c r="F189" s="146"/>
      <c r="G189" s="146"/>
      <c r="H189" s="146"/>
      <c r="I189" s="146"/>
      <c r="J189" s="146"/>
      <c r="K189" s="146"/>
      <c r="L189" s="146"/>
      <c r="M189" s="146"/>
      <c r="N189" s="146"/>
      <c r="O189" s="146"/>
      <c r="P189" s="146"/>
      <c r="Q189" s="146"/>
      <c r="R189" s="146"/>
      <c r="S189" s="146"/>
      <c r="T189" s="146"/>
      <c r="U189" s="146"/>
      <c r="V189" s="146"/>
      <c r="W189" s="146"/>
      <c r="X189" s="146"/>
      <c r="Y189" s="146"/>
      <c r="Z189" s="146"/>
    </row>
    <row r="190" spans="1:26" ht="15.75" customHeight="1" x14ac:dyDescent="0.25">
      <c r="A190" s="146"/>
      <c r="B190" s="146"/>
      <c r="C190" s="146"/>
      <c r="D190" s="146"/>
      <c r="E190" s="146"/>
      <c r="F190" s="146"/>
      <c r="G190" s="146"/>
      <c r="H190" s="146"/>
      <c r="I190" s="146"/>
      <c r="J190" s="146"/>
      <c r="K190" s="146"/>
      <c r="L190" s="146"/>
      <c r="M190" s="146"/>
      <c r="N190" s="146"/>
      <c r="O190" s="146"/>
      <c r="P190" s="146"/>
      <c r="Q190" s="146"/>
      <c r="R190" s="146"/>
      <c r="S190" s="146"/>
      <c r="T190" s="146"/>
      <c r="U190" s="146"/>
      <c r="V190" s="146"/>
      <c r="W190" s="146"/>
      <c r="X190" s="146"/>
      <c r="Y190" s="146"/>
      <c r="Z190" s="146"/>
    </row>
    <row r="191" spans="1:26" ht="15.75" customHeight="1" x14ac:dyDescent="0.25">
      <c r="A191" s="146"/>
      <c r="B191" s="146"/>
      <c r="C191" s="146"/>
      <c r="D191" s="146"/>
      <c r="E191" s="146"/>
      <c r="F191" s="146"/>
      <c r="G191" s="146"/>
      <c r="H191" s="146"/>
      <c r="I191" s="146"/>
      <c r="J191" s="146"/>
      <c r="K191" s="146"/>
      <c r="L191" s="146"/>
      <c r="M191" s="146"/>
      <c r="N191" s="146"/>
      <c r="O191" s="146"/>
      <c r="P191" s="146"/>
      <c r="Q191" s="146"/>
      <c r="R191" s="146"/>
      <c r="S191" s="146"/>
      <c r="T191" s="146"/>
      <c r="U191" s="146"/>
      <c r="V191" s="146"/>
      <c r="W191" s="146"/>
      <c r="X191" s="146"/>
      <c r="Y191" s="146"/>
      <c r="Z191" s="146"/>
    </row>
    <row r="192" spans="1:26" ht="15.75" customHeight="1" x14ac:dyDescent="0.25">
      <c r="A192" s="146"/>
      <c r="B192" s="146"/>
      <c r="C192" s="146"/>
      <c r="D192" s="146"/>
      <c r="E192" s="146"/>
      <c r="F192" s="146"/>
      <c r="G192" s="146"/>
      <c r="H192" s="146"/>
      <c r="I192" s="146"/>
      <c r="J192" s="146"/>
      <c r="K192" s="146"/>
      <c r="L192" s="146"/>
      <c r="M192" s="146"/>
      <c r="N192" s="146"/>
      <c r="O192" s="146"/>
      <c r="P192" s="146"/>
      <c r="Q192" s="146"/>
      <c r="R192" s="146"/>
      <c r="S192" s="146"/>
      <c r="T192" s="146"/>
      <c r="U192" s="146"/>
      <c r="V192" s="146"/>
      <c r="W192" s="146"/>
      <c r="X192" s="146"/>
      <c r="Y192" s="146"/>
      <c r="Z192" s="146"/>
    </row>
    <row r="193" spans="1:26" ht="15.75" customHeight="1" x14ac:dyDescent="0.25">
      <c r="A193" s="146"/>
      <c r="B193" s="146"/>
      <c r="C193" s="146"/>
      <c r="D193" s="146"/>
      <c r="E193" s="146"/>
      <c r="F193" s="146"/>
      <c r="G193" s="146"/>
      <c r="H193" s="146"/>
      <c r="I193" s="146"/>
      <c r="J193" s="146"/>
      <c r="K193" s="146"/>
      <c r="L193" s="146"/>
      <c r="M193" s="146"/>
      <c r="N193" s="146"/>
      <c r="O193" s="146"/>
      <c r="P193" s="146"/>
      <c r="Q193" s="146"/>
      <c r="R193" s="146"/>
      <c r="S193" s="146"/>
      <c r="T193" s="146"/>
      <c r="U193" s="146"/>
      <c r="V193" s="146"/>
      <c r="W193" s="146"/>
      <c r="X193" s="146"/>
      <c r="Y193" s="146"/>
      <c r="Z193" s="146"/>
    </row>
    <row r="194" spans="1:26" ht="15.75" customHeight="1" x14ac:dyDescent="0.25">
      <c r="A194" s="146"/>
      <c r="B194" s="146"/>
      <c r="C194" s="146"/>
      <c r="D194" s="146"/>
      <c r="E194" s="146"/>
      <c r="F194" s="146"/>
      <c r="G194" s="146"/>
      <c r="H194" s="146"/>
      <c r="I194" s="146"/>
      <c r="J194" s="146"/>
      <c r="K194" s="146"/>
      <c r="L194" s="146"/>
      <c r="M194" s="146"/>
      <c r="N194" s="146"/>
      <c r="O194" s="146"/>
      <c r="P194" s="146"/>
      <c r="Q194" s="146"/>
      <c r="R194" s="146"/>
      <c r="S194" s="146"/>
      <c r="T194" s="146"/>
      <c r="U194" s="146"/>
      <c r="V194" s="146"/>
      <c r="W194" s="146"/>
      <c r="X194" s="146"/>
      <c r="Y194" s="146"/>
      <c r="Z194" s="146"/>
    </row>
    <row r="195" spans="1:26" ht="15.75" customHeight="1" x14ac:dyDescent="0.25">
      <c r="A195" s="146"/>
      <c r="B195" s="146"/>
      <c r="C195" s="146"/>
      <c r="D195" s="146"/>
      <c r="E195" s="146"/>
      <c r="F195" s="146"/>
      <c r="G195" s="146"/>
      <c r="H195" s="146"/>
      <c r="I195" s="146"/>
      <c r="J195" s="146"/>
      <c r="K195" s="146"/>
      <c r="L195" s="146"/>
      <c r="M195" s="146"/>
      <c r="N195" s="146"/>
      <c r="O195" s="146"/>
      <c r="P195" s="146"/>
      <c r="Q195" s="146"/>
      <c r="R195" s="146"/>
      <c r="S195" s="146"/>
      <c r="T195" s="146"/>
      <c r="U195" s="146"/>
      <c r="V195" s="146"/>
      <c r="W195" s="146"/>
      <c r="X195" s="146"/>
      <c r="Y195" s="146"/>
      <c r="Z195" s="146"/>
    </row>
    <row r="196" spans="1:26" ht="15.75" customHeight="1" x14ac:dyDescent="0.25">
      <c r="A196" s="146"/>
      <c r="B196" s="146"/>
      <c r="C196" s="146"/>
      <c r="D196" s="146"/>
      <c r="E196" s="146"/>
      <c r="F196" s="146"/>
      <c r="G196" s="146"/>
      <c r="H196" s="146"/>
      <c r="I196" s="146"/>
      <c r="J196" s="146"/>
      <c r="K196" s="146"/>
      <c r="L196" s="146"/>
      <c r="M196" s="146"/>
      <c r="N196" s="146"/>
      <c r="O196" s="146"/>
      <c r="P196" s="146"/>
      <c r="Q196" s="146"/>
      <c r="R196" s="146"/>
      <c r="S196" s="146"/>
      <c r="T196" s="146"/>
      <c r="U196" s="146"/>
      <c r="V196" s="146"/>
      <c r="W196" s="146"/>
      <c r="X196" s="146"/>
      <c r="Y196" s="146"/>
      <c r="Z196" s="146"/>
    </row>
    <row r="197" spans="1:26" ht="15.75" customHeight="1" x14ac:dyDescent="0.25">
      <c r="A197" s="146"/>
      <c r="B197" s="146"/>
      <c r="C197" s="146"/>
      <c r="D197" s="146"/>
      <c r="E197" s="146"/>
      <c r="F197" s="146"/>
      <c r="G197" s="146"/>
      <c r="H197" s="146"/>
      <c r="I197" s="146"/>
      <c r="J197" s="146"/>
      <c r="K197" s="146"/>
      <c r="L197" s="146"/>
      <c r="M197" s="146"/>
      <c r="N197" s="146"/>
      <c r="O197" s="146"/>
      <c r="P197" s="146"/>
      <c r="Q197" s="146"/>
      <c r="R197" s="146"/>
      <c r="S197" s="146"/>
      <c r="T197" s="146"/>
      <c r="U197" s="146"/>
      <c r="V197" s="146"/>
      <c r="W197" s="146"/>
      <c r="X197" s="146"/>
      <c r="Y197" s="146"/>
      <c r="Z197" s="146"/>
    </row>
    <row r="198" spans="1:26" ht="15.75" customHeight="1" x14ac:dyDescent="0.25">
      <c r="A198" s="146"/>
      <c r="B198" s="146"/>
      <c r="C198" s="146"/>
      <c r="D198" s="146"/>
      <c r="E198" s="146"/>
      <c r="F198" s="146"/>
      <c r="G198" s="146"/>
      <c r="H198" s="146"/>
      <c r="I198" s="146"/>
      <c r="J198" s="146"/>
      <c r="K198" s="146"/>
      <c r="L198" s="146"/>
      <c r="M198" s="146"/>
      <c r="N198" s="146"/>
      <c r="O198" s="146"/>
      <c r="P198" s="146"/>
      <c r="Q198" s="146"/>
      <c r="R198" s="146"/>
      <c r="S198" s="146"/>
      <c r="T198" s="146"/>
      <c r="U198" s="146"/>
      <c r="V198" s="146"/>
      <c r="W198" s="146"/>
      <c r="X198" s="146"/>
      <c r="Y198" s="146"/>
      <c r="Z198" s="146"/>
    </row>
    <row r="199" spans="1:26" ht="15.75" customHeight="1" x14ac:dyDescent="0.25">
      <c r="A199" s="146"/>
      <c r="B199" s="146"/>
      <c r="C199" s="146"/>
      <c r="D199" s="146"/>
      <c r="E199" s="146"/>
      <c r="F199" s="146"/>
      <c r="G199" s="146"/>
      <c r="H199" s="146"/>
      <c r="I199" s="146"/>
      <c r="J199" s="146"/>
      <c r="K199" s="146"/>
      <c r="L199" s="146"/>
      <c r="M199" s="146"/>
      <c r="N199" s="146"/>
      <c r="O199" s="146"/>
      <c r="P199" s="146"/>
      <c r="Q199" s="146"/>
      <c r="R199" s="146"/>
      <c r="S199" s="146"/>
      <c r="T199" s="146"/>
      <c r="U199" s="146"/>
      <c r="V199" s="146"/>
      <c r="W199" s="146"/>
      <c r="X199" s="146"/>
      <c r="Y199" s="146"/>
      <c r="Z199" s="146"/>
    </row>
    <row r="200" spans="1:26" ht="15.75" customHeight="1" x14ac:dyDescent="0.25">
      <c r="A200" s="146"/>
      <c r="B200" s="146"/>
      <c r="C200" s="146"/>
      <c r="D200" s="146"/>
      <c r="E200" s="146"/>
      <c r="F200" s="146"/>
      <c r="G200" s="146"/>
      <c r="H200" s="146"/>
      <c r="I200" s="146"/>
      <c r="J200" s="146"/>
      <c r="K200" s="146"/>
      <c r="L200" s="146"/>
      <c r="M200" s="146"/>
      <c r="N200" s="146"/>
      <c r="O200" s="146"/>
      <c r="P200" s="146"/>
      <c r="Q200" s="146"/>
      <c r="R200" s="146"/>
      <c r="S200" s="146"/>
      <c r="T200" s="146"/>
      <c r="U200" s="146"/>
      <c r="V200" s="146"/>
      <c r="W200" s="146"/>
      <c r="X200" s="146"/>
      <c r="Y200" s="146"/>
      <c r="Z200" s="146"/>
    </row>
    <row r="201" spans="1:26" ht="15.75" customHeight="1" x14ac:dyDescent="0.25">
      <c r="A201" s="146"/>
      <c r="B201" s="146"/>
      <c r="C201" s="146"/>
      <c r="D201" s="146"/>
      <c r="E201" s="146"/>
      <c r="F201" s="146"/>
      <c r="G201" s="146"/>
      <c r="H201" s="146"/>
      <c r="I201" s="146"/>
      <c r="J201" s="146"/>
      <c r="K201" s="146"/>
      <c r="L201" s="146"/>
      <c r="M201" s="146"/>
      <c r="N201" s="146"/>
      <c r="O201" s="146"/>
      <c r="P201" s="146"/>
      <c r="Q201" s="146"/>
      <c r="R201" s="146"/>
      <c r="S201" s="146"/>
      <c r="T201" s="146"/>
      <c r="U201" s="146"/>
      <c r="V201" s="146"/>
      <c r="W201" s="146"/>
      <c r="X201" s="146"/>
      <c r="Y201" s="146"/>
      <c r="Z201" s="146"/>
    </row>
    <row r="202" spans="1:26" ht="15.75" customHeight="1" x14ac:dyDescent="0.25">
      <c r="A202" s="146"/>
      <c r="B202" s="146"/>
      <c r="C202" s="146"/>
      <c r="D202" s="146"/>
      <c r="E202" s="146"/>
      <c r="F202" s="146"/>
      <c r="G202" s="146"/>
      <c r="H202" s="146"/>
      <c r="I202" s="146"/>
      <c r="J202" s="146"/>
      <c r="K202" s="146"/>
      <c r="L202" s="146"/>
      <c r="M202" s="146"/>
      <c r="N202" s="146"/>
      <c r="O202" s="146"/>
      <c r="P202" s="146"/>
      <c r="Q202" s="146"/>
      <c r="R202" s="146"/>
      <c r="S202" s="146"/>
      <c r="T202" s="146"/>
      <c r="U202" s="146"/>
      <c r="V202" s="146"/>
      <c r="W202" s="146"/>
      <c r="X202" s="146"/>
      <c r="Y202" s="146"/>
      <c r="Z202" s="146"/>
    </row>
    <row r="203" spans="1:26" ht="15.75" customHeight="1" x14ac:dyDescent="0.25">
      <c r="A203" s="146"/>
      <c r="B203" s="146"/>
      <c r="C203" s="146"/>
      <c r="D203" s="146"/>
      <c r="E203" s="146"/>
      <c r="F203" s="146"/>
      <c r="G203" s="146"/>
      <c r="H203" s="146"/>
      <c r="I203" s="146"/>
      <c r="J203" s="146"/>
      <c r="K203" s="146"/>
      <c r="L203" s="146"/>
      <c r="M203" s="146"/>
      <c r="N203" s="146"/>
      <c r="O203" s="146"/>
      <c r="P203" s="146"/>
      <c r="Q203" s="146"/>
      <c r="R203" s="146"/>
      <c r="S203" s="146"/>
      <c r="T203" s="146"/>
      <c r="U203" s="146"/>
      <c r="V203" s="146"/>
      <c r="W203" s="146"/>
      <c r="X203" s="146"/>
      <c r="Y203" s="146"/>
      <c r="Z203" s="146"/>
    </row>
    <row r="204" spans="1:26" ht="15.75" customHeight="1" x14ac:dyDescent="0.25">
      <c r="A204" s="146"/>
      <c r="B204" s="146"/>
      <c r="C204" s="146"/>
      <c r="D204" s="146"/>
      <c r="E204" s="146"/>
      <c r="F204" s="146"/>
      <c r="G204" s="146"/>
      <c r="H204" s="146"/>
      <c r="I204" s="146"/>
      <c r="J204" s="146"/>
      <c r="K204" s="146"/>
      <c r="L204" s="146"/>
      <c r="M204" s="146"/>
      <c r="N204" s="146"/>
      <c r="O204" s="146"/>
      <c r="P204" s="146"/>
      <c r="Q204" s="146"/>
      <c r="R204" s="146"/>
      <c r="S204" s="146"/>
      <c r="T204" s="146"/>
      <c r="U204" s="146"/>
      <c r="V204" s="146"/>
      <c r="W204" s="146"/>
      <c r="X204" s="146"/>
      <c r="Y204" s="146"/>
      <c r="Z204" s="146"/>
    </row>
    <row r="205" spans="1:26" ht="15.75" customHeight="1" x14ac:dyDescent="0.25">
      <c r="A205" s="146"/>
      <c r="B205" s="146"/>
      <c r="C205" s="146"/>
      <c r="D205" s="146"/>
      <c r="E205" s="146"/>
      <c r="F205" s="146"/>
      <c r="G205" s="146"/>
      <c r="H205" s="146"/>
      <c r="I205" s="146"/>
      <c r="J205" s="146"/>
      <c r="K205" s="146"/>
      <c r="L205" s="146"/>
      <c r="M205" s="146"/>
      <c r="N205" s="146"/>
      <c r="O205" s="146"/>
      <c r="P205" s="146"/>
      <c r="Q205" s="146"/>
      <c r="R205" s="146"/>
      <c r="S205" s="146"/>
      <c r="T205" s="146"/>
      <c r="U205" s="146"/>
      <c r="V205" s="146"/>
      <c r="W205" s="146"/>
      <c r="X205" s="146"/>
      <c r="Y205" s="146"/>
      <c r="Z205" s="146"/>
    </row>
    <row r="206" spans="1:26" ht="15.75" customHeight="1" x14ac:dyDescent="0.25">
      <c r="A206" s="146"/>
      <c r="B206" s="146"/>
      <c r="C206" s="146"/>
      <c r="D206" s="146"/>
      <c r="E206" s="146"/>
      <c r="F206" s="146"/>
      <c r="G206" s="146"/>
      <c r="H206" s="146"/>
      <c r="I206" s="146"/>
      <c r="J206" s="146"/>
      <c r="K206" s="146"/>
      <c r="L206" s="146"/>
      <c r="M206" s="146"/>
      <c r="N206" s="146"/>
      <c r="O206" s="146"/>
      <c r="P206" s="146"/>
      <c r="Q206" s="146"/>
      <c r="R206" s="146"/>
      <c r="S206" s="146"/>
      <c r="T206" s="146"/>
      <c r="U206" s="146"/>
      <c r="V206" s="146"/>
      <c r="W206" s="146"/>
      <c r="X206" s="146"/>
      <c r="Y206" s="146"/>
      <c r="Z206" s="146"/>
    </row>
    <row r="207" spans="1:26" ht="15.75" customHeight="1" x14ac:dyDescent="0.25">
      <c r="A207" s="146"/>
      <c r="B207" s="146"/>
      <c r="C207" s="146"/>
      <c r="D207" s="146"/>
      <c r="E207" s="146"/>
      <c r="F207" s="146"/>
      <c r="G207" s="146"/>
      <c r="H207" s="146"/>
      <c r="I207" s="146"/>
      <c r="J207" s="146"/>
      <c r="K207" s="146"/>
      <c r="L207" s="146"/>
      <c r="M207" s="146"/>
      <c r="N207" s="146"/>
      <c r="O207" s="146"/>
      <c r="P207" s="146"/>
      <c r="Q207" s="146"/>
      <c r="R207" s="146"/>
      <c r="S207" s="146"/>
      <c r="T207" s="146"/>
      <c r="U207" s="146"/>
      <c r="V207" s="146"/>
      <c r="W207" s="146"/>
      <c r="X207" s="146"/>
      <c r="Y207" s="146"/>
      <c r="Z207" s="146"/>
    </row>
    <row r="208" spans="1:26" ht="15.75" customHeight="1" x14ac:dyDescent="0.25">
      <c r="A208" s="146"/>
      <c r="B208" s="146"/>
      <c r="C208" s="146"/>
      <c r="D208" s="146"/>
      <c r="E208" s="146"/>
      <c r="F208" s="146"/>
      <c r="G208" s="146"/>
      <c r="H208" s="146"/>
      <c r="I208" s="146"/>
      <c r="J208" s="146"/>
      <c r="K208" s="146"/>
      <c r="L208" s="146"/>
      <c r="M208" s="146"/>
      <c r="N208" s="146"/>
      <c r="O208" s="146"/>
      <c r="P208" s="146"/>
      <c r="Q208" s="146"/>
      <c r="R208" s="146"/>
      <c r="S208" s="146"/>
      <c r="T208" s="146"/>
      <c r="U208" s="146"/>
      <c r="V208" s="146"/>
      <c r="W208" s="146"/>
      <c r="X208" s="146"/>
      <c r="Y208" s="146"/>
      <c r="Z208" s="146"/>
    </row>
    <row r="209" spans="1:26" ht="15.75" customHeight="1" x14ac:dyDescent="0.25">
      <c r="A209" s="146"/>
      <c r="B209" s="146"/>
      <c r="C209" s="146"/>
      <c r="D209" s="146"/>
      <c r="E209" s="146"/>
      <c r="F209" s="146"/>
      <c r="G209" s="146"/>
      <c r="H209" s="146"/>
      <c r="I209" s="146"/>
      <c r="J209" s="146"/>
      <c r="K209" s="146"/>
      <c r="L209" s="146"/>
      <c r="M209" s="146"/>
      <c r="N209" s="146"/>
      <c r="O209" s="146"/>
      <c r="P209" s="146"/>
      <c r="Q209" s="146"/>
      <c r="R209" s="146"/>
      <c r="S209" s="146"/>
      <c r="T209" s="146"/>
      <c r="U209" s="146"/>
      <c r="V209" s="146"/>
      <c r="W209" s="146"/>
      <c r="X209" s="146"/>
      <c r="Y209" s="146"/>
      <c r="Z209" s="146"/>
    </row>
    <row r="210" spans="1:26" ht="15.75" customHeight="1" x14ac:dyDescent="0.25">
      <c r="A210" s="146"/>
      <c r="B210" s="146"/>
      <c r="C210" s="146"/>
      <c r="D210" s="146"/>
      <c r="E210" s="146"/>
      <c r="F210" s="146"/>
      <c r="G210" s="146"/>
      <c r="H210" s="146"/>
      <c r="I210" s="146"/>
      <c r="J210" s="146"/>
      <c r="K210" s="146"/>
      <c r="L210" s="146"/>
      <c r="M210" s="146"/>
      <c r="N210" s="146"/>
      <c r="O210" s="146"/>
      <c r="P210" s="146"/>
      <c r="Q210" s="146"/>
      <c r="R210" s="146"/>
      <c r="S210" s="146"/>
      <c r="T210" s="146"/>
      <c r="U210" s="146"/>
      <c r="V210" s="146"/>
      <c r="W210" s="146"/>
      <c r="X210" s="146"/>
      <c r="Y210" s="146"/>
      <c r="Z210" s="146"/>
    </row>
    <row r="211" spans="1:26" ht="15.75" customHeight="1" x14ac:dyDescent="0.25">
      <c r="A211" s="146"/>
      <c r="B211" s="146"/>
      <c r="C211" s="146"/>
      <c r="D211" s="146"/>
      <c r="E211" s="146"/>
      <c r="F211" s="146"/>
      <c r="G211" s="146"/>
      <c r="H211" s="146"/>
      <c r="I211" s="146"/>
      <c r="J211" s="146"/>
      <c r="K211" s="146"/>
      <c r="L211" s="146"/>
      <c r="M211" s="146"/>
      <c r="N211" s="146"/>
      <c r="O211" s="146"/>
      <c r="P211" s="146"/>
      <c r="Q211" s="146"/>
      <c r="R211" s="146"/>
      <c r="S211" s="146"/>
      <c r="T211" s="146"/>
      <c r="U211" s="146"/>
      <c r="V211" s="146"/>
      <c r="W211" s="146"/>
      <c r="X211" s="146"/>
      <c r="Y211" s="146"/>
      <c r="Z211" s="146"/>
    </row>
    <row r="212" spans="1:26" ht="15.75" customHeight="1" x14ac:dyDescent="0.25">
      <c r="A212" s="146"/>
      <c r="B212" s="146"/>
      <c r="C212" s="146"/>
      <c r="D212" s="146"/>
      <c r="E212" s="146"/>
      <c r="F212" s="146"/>
      <c r="G212" s="146"/>
      <c r="H212" s="146"/>
      <c r="I212" s="146"/>
      <c r="J212" s="146"/>
      <c r="K212" s="146"/>
      <c r="L212" s="146"/>
      <c r="M212" s="146"/>
      <c r="N212" s="146"/>
      <c r="O212" s="146"/>
      <c r="P212" s="146"/>
      <c r="Q212" s="146"/>
      <c r="R212" s="146"/>
      <c r="S212" s="146"/>
      <c r="T212" s="146"/>
      <c r="U212" s="146"/>
      <c r="V212" s="146"/>
      <c r="W212" s="146"/>
      <c r="X212" s="146"/>
      <c r="Y212" s="146"/>
      <c r="Z212" s="146"/>
    </row>
    <row r="213" spans="1:26" ht="15.75" customHeight="1" x14ac:dyDescent="0.25">
      <c r="A213" s="146"/>
      <c r="B213" s="146"/>
      <c r="C213" s="146"/>
      <c r="D213" s="146"/>
      <c r="E213" s="146"/>
      <c r="F213" s="146"/>
      <c r="G213" s="146"/>
      <c r="H213" s="146"/>
      <c r="I213" s="146"/>
      <c r="J213" s="146"/>
      <c r="K213" s="146"/>
      <c r="L213" s="146"/>
      <c r="M213" s="146"/>
      <c r="N213" s="146"/>
      <c r="O213" s="146"/>
      <c r="P213" s="146"/>
      <c r="Q213" s="146"/>
      <c r="R213" s="146"/>
      <c r="S213" s="146"/>
      <c r="T213" s="146"/>
      <c r="U213" s="146"/>
      <c r="V213" s="146"/>
      <c r="W213" s="146"/>
      <c r="X213" s="146"/>
      <c r="Y213" s="146"/>
      <c r="Z213" s="146"/>
    </row>
    <row r="214" spans="1:26" ht="15.75" customHeight="1" x14ac:dyDescent="0.25">
      <c r="A214" s="146"/>
      <c r="B214" s="146"/>
      <c r="C214" s="146"/>
      <c r="D214" s="146"/>
      <c r="E214" s="146"/>
      <c r="F214" s="146"/>
      <c r="G214" s="146"/>
      <c r="H214" s="146"/>
      <c r="I214" s="146"/>
      <c r="J214" s="146"/>
      <c r="K214" s="146"/>
      <c r="L214" s="146"/>
      <c r="M214" s="146"/>
      <c r="N214" s="146"/>
      <c r="O214" s="146"/>
      <c r="P214" s="146"/>
      <c r="Q214" s="146"/>
      <c r="R214" s="146"/>
      <c r="S214" s="146"/>
      <c r="T214" s="146"/>
      <c r="U214" s="146"/>
      <c r="V214" s="146"/>
      <c r="W214" s="146"/>
      <c r="X214" s="146"/>
      <c r="Y214" s="146"/>
      <c r="Z214" s="146"/>
    </row>
    <row r="215" spans="1:26" ht="15.75" customHeight="1" x14ac:dyDescent="0.25">
      <c r="A215" s="146"/>
      <c r="B215" s="146"/>
      <c r="C215" s="146"/>
      <c r="D215" s="146"/>
      <c r="E215" s="146"/>
      <c r="F215" s="146"/>
      <c r="G215" s="146"/>
      <c r="H215" s="146"/>
      <c r="I215" s="146"/>
      <c r="J215" s="146"/>
      <c r="K215" s="146"/>
      <c r="L215" s="146"/>
      <c r="M215" s="146"/>
      <c r="N215" s="146"/>
      <c r="O215" s="146"/>
      <c r="P215" s="146"/>
      <c r="Q215" s="146"/>
      <c r="R215" s="146"/>
      <c r="S215" s="146"/>
      <c r="T215" s="146"/>
      <c r="U215" s="146"/>
      <c r="V215" s="146"/>
      <c r="W215" s="146"/>
      <c r="X215" s="146"/>
      <c r="Y215" s="146"/>
      <c r="Z215" s="146"/>
    </row>
    <row r="216" spans="1:26" ht="15.75" customHeight="1" x14ac:dyDescent="0.25">
      <c r="A216" s="146"/>
      <c r="B216" s="146"/>
      <c r="C216" s="146"/>
      <c r="D216" s="146"/>
      <c r="E216" s="146"/>
      <c r="F216" s="146"/>
      <c r="G216" s="146"/>
      <c r="H216" s="146"/>
      <c r="I216" s="146"/>
      <c r="J216" s="146"/>
      <c r="K216" s="146"/>
      <c r="L216" s="146"/>
      <c r="M216" s="146"/>
      <c r="N216" s="146"/>
      <c r="O216" s="146"/>
      <c r="P216" s="146"/>
      <c r="Q216" s="146"/>
      <c r="R216" s="146"/>
      <c r="S216" s="146"/>
      <c r="T216" s="146"/>
      <c r="U216" s="146"/>
      <c r="V216" s="146"/>
      <c r="W216" s="146"/>
      <c r="X216" s="146"/>
      <c r="Y216" s="146"/>
      <c r="Z216" s="146"/>
    </row>
    <row r="217" spans="1:26" ht="15.75" customHeight="1" x14ac:dyDescent="0.25">
      <c r="A217" s="146"/>
      <c r="B217" s="146"/>
      <c r="C217" s="146"/>
      <c r="D217" s="146"/>
      <c r="E217" s="146"/>
      <c r="F217" s="146"/>
      <c r="G217" s="146"/>
      <c r="H217" s="146"/>
      <c r="I217" s="146"/>
      <c r="J217" s="146"/>
      <c r="K217" s="146"/>
      <c r="L217" s="146"/>
      <c r="M217" s="146"/>
      <c r="N217" s="146"/>
      <c r="O217" s="146"/>
      <c r="P217" s="146"/>
      <c r="Q217" s="146"/>
      <c r="R217" s="146"/>
      <c r="S217" s="146"/>
      <c r="T217" s="146"/>
      <c r="U217" s="146"/>
      <c r="V217" s="146"/>
      <c r="W217" s="146"/>
      <c r="X217" s="146"/>
      <c r="Y217" s="146"/>
      <c r="Z217" s="146"/>
    </row>
    <row r="218" spans="1:26" ht="15.75" customHeight="1" x14ac:dyDescent="0.25">
      <c r="A218" s="146"/>
      <c r="B218" s="146"/>
      <c r="C218" s="146"/>
      <c r="D218" s="146"/>
      <c r="E218" s="146"/>
      <c r="F218" s="146"/>
      <c r="G218" s="146"/>
      <c r="H218" s="146"/>
      <c r="I218" s="146"/>
      <c r="J218" s="146"/>
      <c r="K218" s="146"/>
      <c r="L218" s="146"/>
      <c r="M218" s="146"/>
      <c r="N218" s="146"/>
      <c r="O218" s="146"/>
      <c r="P218" s="146"/>
      <c r="Q218" s="146"/>
      <c r="R218" s="146"/>
      <c r="S218" s="146"/>
      <c r="T218" s="146"/>
      <c r="U218" s="146"/>
      <c r="V218" s="146"/>
      <c r="W218" s="146"/>
      <c r="X218" s="146"/>
      <c r="Y218" s="146"/>
      <c r="Z218" s="146"/>
    </row>
    <row r="219" spans="1:26" ht="15.75" customHeight="1" x14ac:dyDescent="0.25">
      <c r="A219" s="146"/>
      <c r="B219" s="146"/>
      <c r="C219" s="146"/>
      <c r="D219" s="146"/>
      <c r="E219" s="146"/>
      <c r="F219" s="146"/>
      <c r="G219" s="146"/>
      <c r="H219" s="146"/>
      <c r="I219" s="146"/>
      <c r="J219" s="146"/>
      <c r="K219" s="146"/>
      <c r="L219" s="146"/>
      <c r="M219" s="146"/>
      <c r="N219" s="146"/>
      <c r="O219" s="146"/>
      <c r="P219" s="146"/>
      <c r="Q219" s="146"/>
      <c r="R219" s="146"/>
      <c r="S219" s="146"/>
      <c r="T219" s="146"/>
      <c r="U219" s="146"/>
      <c r="V219" s="146"/>
      <c r="W219" s="146"/>
      <c r="X219" s="146"/>
      <c r="Y219" s="146"/>
      <c r="Z219" s="146"/>
    </row>
    <row r="220" spans="1:26" ht="15.75" customHeight="1" x14ac:dyDescent="0.25">
      <c r="A220" s="146"/>
      <c r="B220" s="146"/>
      <c r="C220" s="146"/>
      <c r="D220" s="146"/>
      <c r="E220" s="146"/>
      <c r="F220" s="146"/>
      <c r="G220" s="146"/>
      <c r="H220" s="146"/>
      <c r="I220" s="146"/>
      <c r="J220" s="146"/>
      <c r="K220" s="146"/>
      <c r="L220" s="146"/>
      <c r="M220" s="146"/>
      <c r="N220" s="146"/>
      <c r="O220" s="146"/>
      <c r="P220" s="146"/>
      <c r="Q220" s="146"/>
      <c r="R220" s="146"/>
      <c r="S220" s="146"/>
      <c r="T220" s="146"/>
      <c r="U220" s="146"/>
      <c r="V220" s="146"/>
      <c r="W220" s="146"/>
      <c r="X220" s="146"/>
      <c r="Y220" s="146"/>
      <c r="Z220" s="146"/>
    </row>
    <row r="221" spans="1:26" ht="15.75" customHeight="1" x14ac:dyDescent="0.25">
      <c r="A221" s="146"/>
      <c r="B221" s="146"/>
      <c r="C221" s="146"/>
      <c r="D221" s="146"/>
      <c r="E221" s="146"/>
      <c r="F221" s="146"/>
      <c r="G221" s="146"/>
      <c r="H221" s="146"/>
      <c r="I221" s="146"/>
      <c r="J221" s="146"/>
      <c r="K221" s="146"/>
      <c r="L221" s="146"/>
      <c r="M221" s="146"/>
      <c r="N221" s="146"/>
      <c r="O221" s="146"/>
      <c r="P221" s="146"/>
      <c r="Q221" s="146"/>
      <c r="R221" s="146"/>
      <c r="S221" s="146"/>
      <c r="T221" s="146"/>
      <c r="U221" s="146"/>
      <c r="V221" s="146"/>
      <c r="W221" s="146"/>
      <c r="X221" s="146"/>
      <c r="Y221" s="146"/>
      <c r="Z221" s="146"/>
    </row>
    <row r="222" spans="1:26" ht="15.75" customHeight="1" x14ac:dyDescent="0.25">
      <c r="A222" s="146"/>
      <c r="B222" s="146"/>
      <c r="C222" s="146"/>
      <c r="D222" s="146"/>
      <c r="E222" s="146"/>
      <c r="F222" s="146"/>
      <c r="G222" s="146"/>
      <c r="H222" s="146"/>
      <c r="I222" s="146"/>
      <c r="J222" s="146"/>
      <c r="K222" s="146"/>
      <c r="L222" s="146"/>
      <c r="M222" s="146"/>
      <c r="N222" s="146"/>
      <c r="O222" s="146"/>
      <c r="P222" s="146"/>
      <c r="Q222" s="146"/>
      <c r="R222" s="146"/>
      <c r="S222" s="146"/>
      <c r="T222" s="146"/>
      <c r="U222" s="146"/>
      <c r="V222" s="146"/>
      <c r="W222" s="146"/>
      <c r="X222" s="146"/>
      <c r="Y222" s="146"/>
      <c r="Z222" s="146"/>
    </row>
    <row r="223" spans="1:26" ht="15.75" customHeight="1" x14ac:dyDescent="0.25">
      <c r="A223" s="146"/>
      <c r="B223" s="146"/>
      <c r="C223" s="146"/>
      <c r="D223" s="146"/>
      <c r="E223" s="146"/>
      <c r="F223" s="146"/>
      <c r="G223" s="146"/>
      <c r="H223" s="146"/>
      <c r="I223" s="146"/>
      <c r="J223" s="146"/>
      <c r="K223" s="146"/>
      <c r="L223" s="146"/>
      <c r="M223" s="146"/>
      <c r="N223" s="146"/>
      <c r="O223" s="146"/>
      <c r="P223" s="146"/>
      <c r="Q223" s="146"/>
      <c r="R223" s="146"/>
      <c r="S223" s="146"/>
      <c r="T223" s="146"/>
      <c r="U223" s="146"/>
      <c r="V223" s="146"/>
      <c r="W223" s="146"/>
      <c r="X223" s="146"/>
      <c r="Y223" s="146"/>
      <c r="Z223" s="146"/>
    </row>
    <row r="224" spans="1:26" ht="15.75" customHeight="1" x14ac:dyDescent="0.25">
      <c r="A224" s="146"/>
      <c r="B224" s="146"/>
      <c r="C224" s="146"/>
      <c r="D224" s="146"/>
      <c r="E224" s="146"/>
      <c r="F224" s="146"/>
      <c r="G224" s="146"/>
      <c r="H224" s="146"/>
      <c r="I224" s="146"/>
      <c r="J224" s="146"/>
      <c r="K224" s="146"/>
      <c r="L224" s="146"/>
      <c r="M224" s="146"/>
      <c r="N224" s="146"/>
      <c r="O224" s="146"/>
      <c r="P224" s="146"/>
      <c r="Q224" s="146"/>
      <c r="R224" s="146"/>
      <c r="S224" s="146"/>
      <c r="T224" s="146"/>
      <c r="U224" s="146"/>
      <c r="V224" s="146"/>
      <c r="W224" s="146"/>
      <c r="X224" s="146"/>
      <c r="Y224" s="146"/>
      <c r="Z224" s="146"/>
    </row>
    <row r="225" spans="1:26" ht="15.75" customHeight="1" x14ac:dyDescent="0.25">
      <c r="A225" s="146"/>
      <c r="B225" s="146"/>
      <c r="C225" s="146"/>
      <c r="D225" s="146"/>
      <c r="E225" s="146"/>
      <c r="F225" s="146"/>
      <c r="G225" s="146"/>
      <c r="H225" s="146"/>
      <c r="I225" s="146"/>
      <c r="J225" s="146"/>
      <c r="K225" s="146"/>
      <c r="L225" s="146"/>
      <c r="M225" s="146"/>
      <c r="N225" s="146"/>
      <c r="O225" s="146"/>
      <c r="P225" s="146"/>
      <c r="Q225" s="146"/>
      <c r="R225" s="146"/>
      <c r="S225" s="146"/>
      <c r="T225" s="146"/>
      <c r="U225" s="146"/>
      <c r="V225" s="146"/>
      <c r="W225" s="146"/>
      <c r="X225" s="146"/>
      <c r="Y225" s="146"/>
      <c r="Z225" s="146"/>
    </row>
    <row r="226" spans="1:26" ht="15.75" customHeight="1" x14ac:dyDescent="0.25">
      <c r="A226" s="146"/>
      <c r="B226" s="146"/>
      <c r="C226" s="146"/>
      <c r="D226" s="146"/>
      <c r="E226" s="146"/>
      <c r="F226" s="146"/>
      <c r="G226" s="146"/>
      <c r="H226" s="146"/>
      <c r="I226" s="146"/>
      <c r="J226" s="146"/>
      <c r="K226" s="146"/>
      <c r="L226" s="146"/>
      <c r="M226" s="146"/>
      <c r="N226" s="146"/>
      <c r="O226" s="146"/>
      <c r="P226" s="146"/>
      <c r="Q226" s="146"/>
      <c r="R226" s="146"/>
      <c r="S226" s="146"/>
      <c r="T226" s="146"/>
      <c r="U226" s="146"/>
      <c r="V226" s="146"/>
      <c r="W226" s="146"/>
      <c r="X226" s="146"/>
      <c r="Y226" s="146"/>
      <c r="Z226" s="146"/>
    </row>
    <row r="227" spans="1:26" ht="15.75" customHeight="1" x14ac:dyDescent="0.25">
      <c r="A227" s="146"/>
      <c r="B227" s="146"/>
      <c r="C227" s="146"/>
      <c r="D227" s="146"/>
      <c r="E227" s="146"/>
      <c r="F227" s="146"/>
      <c r="G227" s="146"/>
      <c r="H227" s="146"/>
      <c r="I227" s="146"/>
      <c r="J227" s="146"/>
      <c r="K227" s="146"/>
      <c r="L227" s="146"/>
      <c r="M227" s="146"/>
      <c r="N227" s="146"/>
      <c r="O227" s="146"/>
      <c r="P227" s="146"/>
      <c r="Q227" s="146"/>
      <c r="R227" s="146"/>
      <c r="S227" s="146"/>
      <c r="T227" s="146"/>
      <c r="U227" s="146"/>
      <c r="V227" s="146"/>
      <c r="W227" s="146"/>
      <c r="X227" s="146"/>
      <c r="Y227" s="146"/>
      <c r="Z227" s="146"/>
    </row>
    <row r="228" spans="1:26" ht="15.75" customHeight="1" x14ac:dyDescent="0.25">
      <c r="A228" s="146"/>
      <c r="B228" s="146"/>
      <c r="C228" s="146"/>
      <c r="D228" s="146"/>
      <c r="E228" s="146"/>
      <c r="F228" s="146"/>
      <c r="G228" s="146"/>
      <c r="H228" s="146"/>
      <c r="I228" s="146"/>
      <c r="J228" s="146"/>
      <c r="K228" s="146"/>
      <c r="L228" s="146"/>
      <c r="M228" s="146"/>
      <c r="N228" s="146"/>
      <c r="O228" s="146"/>
      <c r="P228" s="146"/>
      <c r="Q228" s="146"/>
      <c r="R228" s="146"/>
      <c r="S228" s="146"/>
      <c r="T228" s="146"/>
      <c r="U228" s="146"/>
      <c r="V228" s="146"/>
      <c r="W228" s="146"/>
      <c r="X228" s="146"/>
      <c r="Y228" s="146"/>
      <c r="Z228" s="146"/>
    </row>
    <row r="229" spans="1:26" ht="15.75" customHeight="1" x14ac:dyDescent="0.25">
      <c r="A229" s="146"/>
      <c r="B229" s="146"/>
      <c r="C229" s="146"/>
      <c r="D229" s="146"/>
      <c r="E229" s="146"/>
      <c r="F229" s="146"/>
      <c r="G229" s="146"/>
      <c r="H229" s="146"/>
      <c r="I229" s="146"/>
      <c r="J229" s="146"/>
      <c r="K229" s="146"/>
      <c r="L229" s="146"/>
      <c r="M229" s="146"/>
      <c r="N229" s="146"/>
      <c r="O229" s="146"/>
      <c r="P229" s="146"/>
      <c r="Q229" s="146"/>
      <c r="R229" s="146"/>
      <c r="S229" s="146"/>
      <c r="T229" s="146"/>
      <c r="U229" s="146"/>
      <c r="V229" s="146"/>
      <c r="W229" s="146"/>
      <c r="X229" s="146"/>
      <c r="Y229" s="146"/>
      <c r="Z229" s="146"/>
    </row>
    <row r="230" spans="1:26" ht="15.75" customHeight="1" x14ac:dyDescent="0.25">
      <c r="A230" s="146"/>
      <c r="B230" s="146"/>
      <c r="C230" s="146"/>
      <c r="D230" s="146"/>
      <c r="E230" s="146"/>
      <c r="F230" s="146"/>
      <c r="G230" s="146"/>
      <c r="H230" s="146"/>
      <c r="I230" s="146"/>
      <c r="J230" s="146"/>
      <c r="K230" s="146"/>
      <c r="L230" s="146"/>
      <c r="M230" s="146"/>
      <c r="N230" s="146"/>
      <c r="O230" s="146"/>
      <c r="P230" s="146"/>
      <c r="Q230" s="146"/>
      <c r="R230" s="146"/>
      <c r="S230" s="146"/>
      <c r="T230" s="146"/>
      <c r="U230" s="146"/>
      <c r="V230" s="146"/>
      <c r="W230" s="146"/>
      <c r="X230" s="146"/>
      <c r="Y230" s="146"/>
      <c r="Z230" s="146"/>
    </row>
    <row r="231" spans="1:26" ht="15.75" customHeight="1" x14ac:dyDescent="0.25">
      <c r="A231" s="146"/>
      <c r="B231" s="146"/>
      <c r="C231" s="146"/>
      <c r="D231" s="146"/>
      <c r="E231" s="146"/>
      <c r="F231" s="146"/>
      <c r="G231" s="146"/>
      <c r="H231" s="146"/>
      <c r="I231" s="146"/>
      <c r="J231" s="146"/>
      <c r="K231" s="146"/>
      <c r="L231" s="146"/>
      <c r="M231" s="146"/>
      <c r="N231" s="146"/>
      <c r="O231" s="146"/>
      <c r="P231" s="146"/>
      <c r="Q231" s="146"/>
      <c r="R231" s="146"/>
      <c r="S231" s="146"/>
      <c r="T231" s="146"/>
      <c r="U231" s="146"/>
      <c r="V231" s="146"/>
      <c r="W231" s="146"/>
      <c r="X231" s="146"/>
      <c r="Y231" s="146"/>
      <c r="Z231" s="146"/>
    </row>
    <row r="232" spans="1:26" ht="15.75" customHeight="1" x14ac:dyDescent="0.25">
      <c r="A232" s="146"/>
      <c r="B232" s="146"/>
      <c r="C232" s="146"/>
      <c r="D232" s="146"/>
      <c r="E232" s="146"/>
      <c r="F232" s="146"/>
      <c r="G232" s="146"/>
      <c r="H232" s="146"/>
      <c r="I232" s="146"/>
      <c r="J232" s="146"/>
      <c r="K232" s="146"/>
      <c r="L232" s="146"/>
      <c r="M232" s="146"/>
      <c r="N232" s="146"/>
      <c r="O232" s="146"/>
      <c r="P232" s="146"/>
      <c r="Q232" s="146"/>
      <c r="R232" s="146"/>
      <c r="S232" s="146"/>
      <c r="T232" s="146"/>
      <c r="U232" s="146"/>
      <c r="V232" s="146"/>
      <c r="W232" s="146"/>
      <c r="X232" s="146"/>
      <c r="Y232" s="146"/>
      <c r="Z232" s="146"/>
    </row>
    <row r="233" spans="1:26" ht="15.75" customHeight="1" x14ac:dyDescent="0.25">
      <c r="A233" s="146"/>
      <c r="B233" s="146"/>
      <c r="C233" s="146"/>
      <c r="D233" s="146"/>
      <c r="E233" s="146"/>
      <c r="F233" s="146"/>
      <c r="G233" s="146"/>
      <c r="H233" s="146"/>
      <c r="I233" s="146"/>
      <c r="J233" s="146"/>
      <c r="K233" s="146"/>
      <c r="L233" s="146"/>
      <c r="M233" s="146"/>
      <c r="N233" s="146"/>
      <c r="O233" s="146"/>
      <c r="P233" s="146"/>
      <c r="Q233" s="146"/>
      <c r="R233" s="146"/>
      <c r="S233" s="146"/>
      <c r="T233" s="146"/>
      <c r="U233" s="146"/>
      <c r="V233" s="146"/>
      <c r="W233" s="146"/>
      <c r="X233" s="146"/>
      <c r="Y233" s="146"/>
      <c r="Z233" s="146"/>
    </row>
    <row r="234" spans="1:26" ht="15.75" customHeight="1" x14ac:dyDescent="0.25">
      <c r="A234" s="146"/>
      <c r="B234" s="146"/>
      <c r="C234" s="146"/>
      <c r="D234" s="146"/>
      <c r="E234" s="146"/>
      <c r="F234" s="146"/>
      <c r="G234" s="146"/>
      <c r="H234" s="146"/>
      <c r="I234" s="146"/>
      <c r="J234" s="146"/>
      <c r="K234" s="146"/>
      <c r="L234" s="146"/>
      <c r="M234" s="146"/>
      <c r="N234" s="146"/>
      <c r="O234" s="146"/>
      <c r="P234" s="146"/>
      <c r="Q234" s="146"/>
      <c r="R234" s="146"/>
      <c r="S234" s="146"/>
      <c r="T234" s="146"/>
      <c r="U234" s="146"/>
      <c r="V234" s="146"/>
      <c r="W234" s="146"/>
      <c r="X234" s="146"/>
      <c r="Y234" s="146"/>
      <c r="Z234" s="146"/>
    </row>
    <row r="235" spans="1:26" ht="15.75" customHeight="1" x14ac:dyDescent="0.25">
      <c r="A235" s="146"/>
      <c r="B235" s="146"/>
      <c r="C235" s="146"/>
      <c r="D235" s="146"/>
      <c r="E235" s="146"/>
      <c r="F235" s="146"/>
      <c r="G235" s="146"/>
      <c r="H235" s="146"/>
      <c r="I235" s="146"/>
      <c r="J235" s="146"/>
      <c r="K235" s="146"/>
      <c r="L235" s="146"/>
      <c r="M235" s="146"/>
      <c r="N235" s="146"/>
      <c r="O235" s="146"/>
      <c r="P235" s="146"/>
      <c r="Q235" s="146"/>
      <c r="R235" s="146"/>
      <c r="S235" s="146"/>
      <c r="T235" s="146"/>
      <c r="U235" s="146"/>
      <c r="V235" s="146"/>
      <c r="W235" s="146"/>
      <c r="X235" s="146"/>
      <c r="Y235" s="146"/>
      <c r="Z235" s="146"/>
    </row>
    <row r="236" spans="1:26" ht="15.75" customHeight="1" x14ac:dyDescent="0.25">
      <c r="A236" s="146"/>
      <c r="B236" s="146"/>
      <c r="C236" s="146"/>
      <c r="D236" s="146"/>
      <c r="E236" s="146"/>
      <c r="F236" s="146"/>
      <c r="G236" s="146"/>
      <c r="H236" s="146"/>
      <c r="I236" s="146"/>
      <c r="J236" s="146"/>
      <c r="K236" s="146"/>
      <c r="L236" s="146"/>
      <c r="M236" s="146"/>
      <c r="N236" s="146"/>
      <c r="O236" s="146"/>
      <c r="P236" s="146"/>
      <c r="Q236" s="146"/>
      <c r="R236" s="146"/>
      <c r="S236" s="146"/>
      <c r="T236" s="146"/>
      <c r="U236" s="146"/>
      <c r="V236" s="146"/>
      <c r="W236" s="146"/>
      <c r="X236" s="146"/>
      <c r="Y236" s="146"/>
      <c r="Z236" s="146"/>
    </row>
    <row r="237" spans="1:26" ht="15.75" customHeight="1" x14ac:dyDescent="0.25">
      <c r="A237" s="146"/>
      <c r="B237" s="146"/>
      <c r="C237" s="146"/>
      <c r="D237" s="146"/>
      <c r="E237" s="146"/>
      <c r="F237" s="146"/>
      <c r="G237" s="146"/>
      <c r="H237" s="146"/>
      <c r="I237" s="146"/>
      <c r="J237" s="146"/>
      <c r="K237" s="146"/>
      <c r="L237" s="146"/>
      <c r="M237" s="146"/>
      <c r="N237" s="146"/>
      <c r="O237" s="146"/>
      <c r="P237" s="146"/>
      <c r="Q237" s="146"/>
      <c r="R237" s="146"/>
      <c r="S237" s="146"/>
      <c r="T237" s="146"/>
      <c r="U237" s="146"/>
      <c r="V237" s="146"/>
      <c r="W237" s="146"/>
      <c r="X237" s="146"/>
      <c r="Y237" s="146"/>
      <c r="Z237" s="146"/>
    </row>
    <row r="238" spans="1:26" ht="15.75" customHeight="1" x14ac:dyDescent="0.25">
      <c r="A238" s="146"/>
      <c r="B238" s="146"/>
      <c r="C238" s="146"/>
      <c r="D238" s="146"/>
      <c r="E238" s="146"/>
      <c r="F238" s="146"/>
      <c r="G238" s="146"/>
      <c r="H238" s="146"/>
      <c r="I238" s="146"/>
      <c r="J238" s="146"/>
      <c r="K238" s="146"/>
      <c r="L238" s="146"/>
      <c r="M238" s="146"/>
      <c r="N238" s="146"/>
      <c r="O238" s="146"/>
      <c r="P238" s="146"/>
      <c r="Q238" s="146"/>
      <c r="R238" s="146"/>
      <c r="S238" s="146"/>
      <c r="T238" s="146"/>
      <c r="U238" s="146"/>
      <c r="V238" s="146"/>
      <c r="W238" s="146"/>
      <c r="X238" s="146"/>
      <c r="Y238" s="146"/>
      <c r="Z238" s="146"/>
    </row>
    <row r="239" spans="1:26" ht="15.75" customHeight="1" x14ac:dyDescent="0.25">
      <c r="A239" s="146"/>
      <c r="B239" s="146"/>
      <c r="C239" s="146"/>
      <c r="D239" s="146"/>
      <c r="E239" s="146"/>
      <c r="F239" s="146"/>
      <c r="G239" s="146"/>
      <c r="H239" s="146"/>
      <c r="I239" s="146"/>
      <c r="J239" s="146"/>
      <c r="K239" s="146"/>
      <c r="L239" s="146"/>
      <c r="M239" s="146"/>
      <c r="N239" s="146"/>
      <c r="O239" s="146"/>
      <c r="P239" s="146"/>
      <c r="Q239" s="146"/>
      <c r="R239" s="146"/>
      <c r="S239" s="146"/>
      <c r="T239" s="146"/>
      <c r="U239" s="146"/>
      <c r="V239" s="146"/>
      <c r="W239" s="146"/>
      <c r="X239" s="146"/>
      <c r="Y239" s="146"/>
      <c r="Z239" s="146"/>
    </row>
    <row r="240" spans="1:26" ht="15.75" customHeight="1" x14ac:dyDescent="0.25">
      <c r="A240" s="146"/>
      <c r="B240" s="146"/>
      <c r="C240" s="146"/>
      <c r="D240" s="146"/>
      <c r="E240" s="146"/>
      <c r="F240" s="146"/>
      <c r="G240" s="146"/>
      <c r="H240" s="146"/>
      <c r="I240" s="146"/>
      <c r="J240" s="146"/>
      <c r="K240" s="146"/>
      <c r="L240" s="146"/>
      <c r="M240" s="146"/>
      <c r="N240" s="146"/>
      <c r="O240" s="146"/>
      <c r="P240" s="146"/>
      <c r="Q240" s="146"/>
      <c r="R240" s="146"/>
      <c r="S240" s="146"/>
      <c r="T240" s="146"/>
      <c r="U240" s="146"/>
      <c r="V240" s="146"/>
      <c r="W240" s="146"/>
      <c r="X240" s="146"/>
      <c r="Y240" s="146"/>
      <c r="Z240" s="146"/>
    </row>
    <row r="241" spans="1:26" ht="15.75" customHeight="1" x14ac:dyDescent="0.25">
      <c r="A241" s="146"/>
      <c r="B241" s="146"/>
      <c r="C241" s="146"/>
      <c r="D241" s="146"/>
      <c r="E241" s="146"/>
      <c r="F241" s="146"/>
      <c r="G241" s="146"/>
      <c r="H241" s="146"/>
      <c r="I241" s="146"/>
      <c r="J241" s="146"/>
      <c r="K241" s="146"/>
      <c r="L241" s="146"/>
      <c r="M241" s="146"/>
      <c r="N241" s="146"/>
      <c r="O241" s="146"/>
      <c r="P241" s="146"/>
      <c r="Q241" s="146"/>
      <c r="R241" s="146"/>
      <c r="S241" s="146"/>
      <c r="T241" s="146"/>
      <c r="U241" s="146"/>
      <c r="V241" s="146"/>
      <c r="W241" s="146"/>
      <c r="X241" s="146"/>
      <c r="Y241" s="146"/>
      <c r="Z241" s="146"/>
    </row>
    <row r="242" spans="1:26" ht="15.75" customHeight="1" x14ac:dyDescent="0.25">
      <c r="A242" s="146"/>
      <c r="B242" s="146"/>
      <c r="C242" s="146"/>
      <c r="D242" s="146"/>
      <c r="E242" s="146"/>
      <c r="F242" s="146"/>
      <c r="G242" s="146"/>
      <c r="H242" s="146"/>
      <c r="I242" s="146"/>
      <c r="J242" s="146"/>
      <c r="K242" s="146"/>
      <c r="L242" s="146"/>
      <c r="M242" s="146"/>
      <c r="N242" s="146"/>
      <c r="O242" s="146"/>
      <c r="P242" s="146"/>
      <c r="Q242" s="146"/>
      <c r="R242" s="146"/>
      <c r="S242" s="146"/>
      <c r="T242" s="146"/>
      <c r="U242" s="146"/>
      <c r="V242" s="146"/>
      <c r="W242" s="146"/>
      <c r="X242" s="146"/>
      <c r="Y242" s="146"/>
      <c r="Z242" s="146"/>
    </row>
    <row r="243" spans="1:26" ht="15.75" customHeight="1" x14ac:dyDescent="0.25">
      <c r="A243" s="146"/>
      <c r="B243" s="146"/>
      <c r="C243" s="146"/>
      <c r="D243" s="146"/>
      <c r="E243" s="146"/>
      <c r="F243" s="146"/>
      <c r="G243" s="146"/>
      <c r="H243" s="146"/>
      <c r="I243" s="146"/>
      <c r="J243" s="146"/>
      <c r="K243" s="146"/>
      <c r="L243" s="146"/>
      <c r="M243" s="146"/>
      <c r="N243" s="146"/>
      <c r="O243" s="146"/>
      <c r="P243" s="146"/>
      <c r="Q243" s="146"/>
      <c r="R243" s="146"/>
      <c r="S243" s="146"/>
      <c r="T243" s="146"/>
      <c r="U243" s="146"/>
      <c r="V243" s="146"/>
      <c r="W243" s="146"/>
      <c r="X243" s="146"/>
      <c r="Y243" s="146"/>
      <c r="Z243" s="146"/>
    </row>
    <row r="244" spans="1:26" ht="15.75" customHeight="1" x14ac:dyDescent="0.25">
      <c r="A244" s="146"/>
      <c r="B244" s="146"/>
      <c r="C244" s="146"/>
      <c r="D244" s="146"/>
      <c r="E244" s="146"/>
      <c r="F244" s="146"/>
      <c r="G244" s="146"/>
      <c r="H244" s="146"/>
      <c r="I244" s="146"/>
      <c r="J244" s="146"/>
      <c r="K244" s="146"/>
      <c r="L244" s="146"/>
      <c r="M244" s="146"/>
      <c r="N244" s="146"/>
      <c r="O244" s="146"/>
      <c r="P244" s="146"/>
      <c r="Q244" s="146"/>
      <c r="R244" s="146"/>
      <c r="S244" s="146"/>
      <c r="T244" s="146"/>
      <c r="U244" s="146"/>
      <c r="V244" s="146"/>
      <c r="W244" s="146"/>
      <c r="X244" s="146"/>
      <c r="Y244" s="146"/>
      <c r="Z244" s="146"/>
    </row>
    <row r="245" spans="1:26" ht="15.75" customHeight="1" x14ac:dyDescent="0.25">
      <c r="A245" s="146"/>
      <c r="B245" s="146"/>
      <c r="C245" s="146"/>
      <c r="D245" s="146"/>
      <c r="E245" s="146"/>
      <c r="F245" s="146"/>
      <c r="G245" s="146"/>
      <c r="H245" s="146"/>
      <c r="I245" s="146"/>
      <c r="J245" s="146"/>
      <c r="K245" s="146"/>
      <c r="L245" s="146"/>
      <c r="M245" s="146"/>
      <c r="N245" s="146"/>
      <c r="O245" s="146"/>
      <c r="P245" s="146"/>
      <c r="Q245" s="146"/>
      <c r="R245" s="146"/>
      <c r="S245" s="146"/>
      <c r="T245" s="146"/>
      <c r="U245" s="146"/>
      <c r="V245" s="146"/>
      <c r="W245" s="146"/>
      <c r="X245" s="146"/>
      <c r="Y245" s="146"/>
      <c r="Z245" s="146"/>
    </row>
    <row r="246" spans="1:26" ht="15.75" customHeight="1" x14ac:dyDescent="0.25">
      <c r="A246" s="146"/>
      <c r="B246" s="146"/>
      <c r="C246" s="146"/>
      <c r="D246" s="146"/>
      <c r="E246" s="146"/>
      <c r="F246" s="146"/>
      <c r="G246" s="146"/>
      <c r="H246" s="146"/>
      <c r="I246" s="146"/>
      <c r="J246" s="146"/>
      <c r="K246" s="146"/>
      <c r="L246" s="146"/>
      <c r="M246" s="146"/>
      <c r="N246" s="146"/>
      <c r="O246" s="146"/>
      <c r="P246" s="146"/>
      <c r="Q246" s="146"/>
      <c r="R246" s="146"/>
      <c r="S246" s="146"/>
      <c r="T246" s="146"/>
      <c r="U246" s="146"/>
      <c r="V246" s="146"/>
      <c r="W246" s="146"/>
      <c r="X246" s="146"/>
      <c r="Y246" s="146"/>
      <c r="Z246" s="146"/>
    </row>
    <row r="247" spans="1:26" ht="15.75" customHeight="1" x14ac:dyDescent="0.25">
      <c r="A247" s="146"/>
      <c r="B247" s="146"/>
      <c r="C247" s="146"/>
      <c r="D247" s="146"/>
      <c r="E247" s="146"/>
      <c r="F247" s="146"/>
      <c r="G247" s="146"/>
      <c r="H247" s="146"/>
      <c r="I247" s="146"/>
      <c r="J247" s="146"/>
      <c r="K247" s="146"/>
      <c r="L247" s="146"/>
      <c r="M247" s="146"/>
      <c r="N247" s="146"/>
      <c r="O247" s="146"/>
      <c r="P247" s="146"/>
      <c r="Q247" s="146"/>
      <c r="R247" s="146"/>
      <c r="S247" s="146"/>
      <c r="T247" s="146"/>
      <c r="U247" s="146"/>
      <c r="V247" s="146"/>
      <c r="W247" s="146"/>
      <c r="X247" s="146"/>
      <c r="Y247" s="146"/>
      <c r="Z247" s="146"/>
    </row>
    <row r="248" spans="1:26" ht="15.75" customHeight="1" x14ac:dyDescent="0.25">
      <c r="A248" s="146"/>
      <c r="B248" s="146"/>
      <c r="C248" s="146"/>
      <c r="D248" s="146"/>
      <c r="E248" s="146"/>
      <c r="F248" s="146"/>
      <c r="G248" s="146"/>
      <c r="H248" s="146"/>
      <c r="I248" s="146"/>
      <c r="J248" s="146"/>
      <c r="K248" s="146"/>
      <c r="L248" s="146"/>
      <c r="M248" s="146"/>
      <c r="N248" s="146"/>
      <c r="O248" s="146"/>
      <c r="P248" s="146"/>
      <c r="Q248" s="146"/>
      <c r="R248" s="146"/>
      <c r="S248" s="146"/>
      <c r="T248" s="146"/>
      <c r="U248" s="146"/>
      <c r="V248" s="146"/>
      <c r="W248" s="146"/>
      <c r="X248" s="146"/>
      <c r="Y248" s="146"/>
      <c r="Z248" s="146"/>
    </row>
    <row r="249" spans="1:26" ht="15.75" customHeight="1" x14ac:dyDescent="0.25">
      <c r="A249" s="146"/>
      <c r="B249" s="146"/>
      <c r="C249" s="146"/>
      <c r="D249" s="146"/>
      <c r="E249" s="146"/>
      <c r="F249" s="146"/>
      <c r="G249" s="146"/>
      <c r="H249" s="146"/>
      <c r="I249" s="146"/>
      <c r="J249" s="146"/>
      <c r="K249" s="146"/>
      <c r="L249" s="146"/>
      <c r="M249" s="146"/>
      <c r="N249" s="146"/>
      <c r="O249" s="146"/>
      <c r="P249" s="146"/>
      <c r="Q249" s="146"/>
      <c r="R249" s="146"/>
      <c r="S249" s="146"/>
      <c r="T249" s="146"/>
      <c r="U249" s="146"/>
      <c r="V249" s="146"/>
      <c r="W249" s="146"/>
      <c r="X249" s="146"/>
      <c r="Y249" s="146"/>
      <c r="Z249" s="146"/>
    </row>
    <row r="250" spans="1:26" ht="15.75" customHeight="1" x14ac:dyDescent="0.25">
      <c r="A250" s="146"/>
      <c r="B250" s="146"/>
      <c r="C250" s="146"/>
      <c r="D250" s="146"/>
      <c r="E250" s="146"/>
      <c r="F250" s="146"/>
      <c r="G250" s="146"/>
      <c r="H250" s="146"/>
      <c r="I250" s="146"/>
      <c r="J250" s="146"/>
      <c r="K250" s="146"/>
      <c r="L250" s="146"/>
      <c r="M250" s="146"/>
      <c r="N250" s="146"/>
      <c r="O250" s="146"/>
      <c r="P250" s="146"/>
      <c r="Q250" s="146"/>
      <c r="R250" s="146"/>
      <c r="S250" s="146"/>
      <c r="T250" s="146"/>
      <c r="U250" s="146"/>
      <c r="V250" s="146"/>
      <c r="W250" s="146"/>
      <c r="X250" s="146"/>
      <c r="Y250" s="146"/>
      <c r="Z250" s="146"/>
    </row>
    <row r="251" spans="1:26" ht="15.75" customHeight="1" x14ac:dyDescent="0.25">
      <c r="A251" s="146"/>
      <c r="B251" s="146"/>
      <c r="C251" s="146"/>
      <c r="D251" s="146"/>
      <c r="E251" s="146"/>
      <c r="F251" s="146"/>
      <c r="G251" s="146"/>
      <c r="H251" s="146"/>
      <c r="I251" s="146"/>
      <c r="J251" s="146"/>
      <c r="K251" s="146"/>
      <c r="L251" s="146"/>
      <c r="M251" s="146"/>
      <c r="N251" s="146"/>
      <c r="O251" s="146"/>
      <c r="P251" s="146"/>
      <c r="Q251" s="146"/>
      <c r="R251" s="146"/>
      <c r="S251" s="146"/>
      <c r="T251" s="146"/>
      <c r="U251" s="146"/>
      <c r="V251" s="146"/>
      <c r="W251" s="146"/>
      <c r="X251" s="146"/>
      <c r="Y251" s="146"/>
      <c r="Z251" s="146"/>
    </row>
    <row r="252" spans="1:26" ht="15.75" customHeight="1" x14ac:dyDescent="0.25">
      <c r="A252" s="146"/>
      <c r="B252" s="146"/>
      <c r="C252" s="146"/>
      <c r="D252" s="146"/>
      <c r="E252" s="146"/>
      <c r="F252" s="146"/>
      <c r="G252" s="146"/>
      <c r="H252" s="146"/>
      <c r="I252" s="146"/>
      <c r="J252" s="146"/>
      <c r="K252" s="146"/>
      <c r="L252" s="146"/>
      <c r="M252" s="146"/>
      <c r="N252" s="146"/>
      <c r="O252" s="146"/>
      <c r="P252" s="146"/>
      <c r="Q252" s="146"/>
      <c r="R252" s="146"/>
      <c r="S252" s="146"/>
      <c r="T252" s="146"/>
      <c r="U252" s="146"/>
      <c r="V252" s="146"/>
      <c r="W252" s="146"/>
      <c r="X252" s="146"/>
      <c r="Y252" s="146"/>
      <c r="Z252" s="146"/>
    </row>
    <row r="253" spans="1:26" ht="15.75" customHeight="1" x14ac:dyDescent="0.25">
      <c r="A253" s="146"/>
      <c r="B253" s="146"/>
      <c r="C253" s="146"/>
      <c r="D253" s="146"/>
      <c r="E253" s="146"/>
      <c r="F253" s="146"/>
      <c r="G253" s="146"/>
      <c r="H253" s="146"/>
      <c r="I253" s="146"/>
      <c r="J253" s="146"/>
      <c r="K253" s="146"/>
      <c r="L253" s="146"/>
      <c r="M253" s="146"/>
      <c r="N253" s="146"/>
      <c r="O253" s="146"/>
      <c r="P253" s="146"/>
      <c r="Q253" s="146"/>
      <c r="R253" s="146"/>
      <c r="S253" s="146"/>
      <c r="T253" s="146"/>
      <c r="U253" s="146"/>
      <c r="V253" s="146"/>
      <c r="W253" s="146"/>
      <c r="X253" s="146"/>
      <c r="Y253" s="146"/>
      <c r="Z253" s="146"/>
    </row>
    <row r="254" spans="1:26" ht="15.75" customHeight="1" x14ac:dyDescent="0.25">
      <c r="A254" s="146"/>
      <c r="B254" s="146"/>
      <c r="C254" s="146"/>
      <c r="D254" s="146"/>
      <c r="E254" s="146"/>
      <c r="F254" s="146"/>
      <c r="G254" s="146"/>
      <c r="H254" s="146"/>
      <c r="I254" s="146"/>
      <c r="J254" s="146"/>
      <c r="K254" s="146"/>
      <c r="L254" s="146"/>
      <c r="M254" s="146"/>
      <c r="N254" s="146"/>
      <c r="O254" s="146"/>
      <c r="P254" s="146"/>
      <c r="Q254" s="146"/>
      <c r="R254" s="146"/>
      <c r="S254" s="146"/>
      <c r="T254" s="146"/>
      <c r="U254" s="146"/>
      <c r="V254" s="146"/>
      <c r="W254" s="146"/>
      <c r="X254" s="146"/>
      <c r="Y254" s="146"/>
      <c r="Z254" s="146"/>
    </row>
    <row r="255" spans="1:26" ht="15.75" customHeight="1" x14ac:dyDescent="0.25">
      <c r="A255" s="146"/>
      <c r="B255" s="146"/>
      <c r="C255" s="146"/>
      <c r="D255" s="146"/>
      <c r="E255" s="146"/>
      <c r="F255" s="146"/>
      <c r="G255" s="146"/>
      <c r="H255" s="146"/>
      <c r="I255" s="146"/>
      <c r="J255" s="146"/>
      <c r="K255" s="146"/>
      <c r="L255" s="146"/>
      <c r="M255" s="146"/>
      <c r="N255" s="146"/>
      <c r="O255" s="146"/>
      <c r="P255" s="146"/>
      <c r="Q255" s="146"/>
      <c r="R255" s="146"/>
      <c r="S255" s="146"/>
      <c r="T255" s="146"/>
      <c r="U255" s="146"/>
      <c r="V255" s="146"/>
      <c r="W255" s="146"/>
      <c r="X255" s="146"/>
      <c r="Y255" s="146"/>
      <c r="Z255" s="146"/>
    </row>
    <row r="256" spans="1:26" ht="15.75" customHeight="1" x14ac:dyDescent="0.25">
      <c r="A256" s="146"/>
      <c r="B256" s="146"/>
      <c r="C256" s="146"/>
      <c r="D256" s="146"/>
      <c r="E256" s="146"/>
      <c r="F256" s="146"/>
      <c r="G256" s="146"/>
      <c r="H256" s="146"/>
      <c r="I256" s="146"/>
      <c r="J256" s="146"/>
      <c r="K256" s="146"/>
      <c r="L256" s="146"/>
      <c r="M256" s="146"/>
      <c r="N256" s="146"/>
      <c r="O256" s="146"/>
      <c r="P256" s="146"/>
      <c r="Q256" s="146"/>
      <c r="R256" s="146"/>
      <c r="S256" s="146"/>
      <c r="T256" s="146"/>
      <c r="U256" s="146"/>
      <c r="V256" s="146"/>
      <c r="W256" s="146"/>
      <c r="X256" s="146"/>
      <c r="Y256" s="146"/>
      <c r="Z256" s="146"/>
    </row>
    <row r="257" spans="1:26" ht="15.75" customHeight="1" x14ac:dyDescent="0.25">
      <c r="A257" s="146"/>
      <c r="B257" s="146"/>
      <c r="C257" s="146"/>
      <c r="D257" s="146"/>
      <c r="E257" s="146"/>
      <c r="F257" s="146"/>
      <c r="G257" s="146"/>
      <c r="H257" s="146"/>
      <c r="I257" s="146"/>
      <c r="J257" s="146"/>
      <c r="K257" s="146"/>
      <c r="L257" s="146"/>
      <c r="M257" s="146"/>
      <c r="N257" s="146"/>
      <c r="O257" s="146"/>
      <c r="P257" s="146"/>
      <c r="Q257" s="146"/>
      <c r="R257" s="146"/>
      <c r="S257" s="146"/>
      <c r="T257" s="146"/>
      <c r="U257" s="146"/>
      <c r="V257" s="146"/>
      <c r="W257" s="146"/>
      <c r="X257" s="146"/>
      <c r="Y257" s="146"/>
      <c r="Z257" s="146"/>
    </row>
    <row r="258" spans="1:26" ht="15.75" customHeight="1" x14ac:dyDescent="0.25">
      <c r="A258" s="146"/>
      <c r="B258" s="146"/>
      <c r="C258" s="146"/>
      <c r="D258" s="146"/>
      <c r="E258" s="146"/>
      <c r="F258" s="146"/>
      <c r="G258" s="146"/>
      <c r="H258" s="146"/>
      <c r="I258" s="146"/>
      <c r="J258" s="146"/>
      <c r="K258" s="146"/>
      <c r="L258" s="146"/>
      <c r="M258" s="146"/>
      <c r="N258" s="146"/>
      <c r="O258" s="146"/>
      <c r="P258" s="146"/>
      <c r="Q258" s="146"/>
      <c r="R258" s="146"/>
      <c r="S258" s="146"/>
      <c r="T258" s="146"/>
      <c r="U258" s="146"/>
      <c r="V258" s="146"/>
      <c r="W258" s="146"/>
      <c r="X258" s="146"/>
      <c r="Y258" s="146"/>
      <c r="Z258" s="146"/>
    </row>
    <row r="259" spans="1:26" ht="15.75" customHeight="1" x14ac:dyDescent="0.25">
      <c r="A259" s="146"/>
      <c r="B259" s="146"/>
      <c r="C259" s="146"/>
      <c r="D259" s="146"/>
      <c r="E259" s="146"/>
      <c r="F259" s="146"/>
      <c r="G259" s="146"/>
      <c r="H259" s="146"/>
      <c r="I259" s="146"/>
      <c r="J259" s="146"/>
      <c r="K259" s="146"/>
      <c r="L259" s="146"/>
      <c r="M259" s="146"/>
      <c r="N259" s="146"/>
      <c r="O259" s="146"/>
      <c r="P259" s="146"/>
      <c r="Q259" s="146"/>
      <c r="R259" s="146"/>
      <c r="S259" s="146"/>
      <c r="T259" s="146"/>
      <c r="U259" s="146"/>
      <c r="V259" s="146"/>
      <c r="W259" s="146"/>
      <c r="X259" s="146"/>
      <c r="Y259" s="146"/>
      <c r="Z259" s="146"/>
    </row>
    <row r="260" spans="1:26" ht="15.75" customHeight="1" x14ac:dyDescent="0.25">
      <c r="A260" s="146"/>
      <c r="B260" s="146"/>
      <c r="C260" s="146"/>
      <c r="D260" s="146"/>
      <c r="E260" s="146"/>
      <c r="F260" s="146"/>
      <c r="G260" s="146"/>
      <c r="H260" s="146"/>
      <c r="I260" s="146"/>
      <c r="J260" s="146"/>
      <c r="K260" s="146"/>
      <c r="L260" s="146"/>
      <c r="M260" s="146"/>
      <c r="N260" s="146"/>
      <c r="O260" s="146"/>
      <c r="P260" s="146"/>
      <c r="Q260" s="146"/>
      <c r="R260" s="146"/>
      <c r="S260" s="146"/>
      <c r="T260" s="146"/>
      <c r="U260" s="146"/>
      <c r="V260" s="146"/>
      <c r="W260" s="146"/>
      <c r="X260" s="146"/>
      <c r="Y260" s="146"/>
      <c r="Z260" s="146"/>
    </row>
    <row r="261" spans="1:26" ht="15.75" customHeight="1" x14ac:dyDescent="0.25">
      <c r="A261" s="146"/>
      <c r="B261" s="146"/>
      <c r="C261" s="146"/>
      <c r="D261" s="146"/>
      <c r="E261" s="146"/>
      <c r="F261" s="146"/>
      <c r="G261" s="146"/>
      <c r="H261" s="146"/>
      <c r="I261" s="146"/>
      <c r="J261" s="146"/>
      <c r="K261" s="146"/>
      <c r="L261" s="146"/>
      <c r="M261" s="146"/>
      <c r="N261" s="146"/>
      <c r="O261" s="146"/>
      <c r="P261" s="146"/>
      <c r="Q261" s="146"/>
      <c r="R261" s="146"/>
      <c r="S261" s="146"/>
      <c r="T261" s="146"/>
      <c r="U261" s="146"/>
      <c r="V261" s="146"/>
      <c r="W261" s="146"/>
      <c r="X261" s="146"/>
      <c r="Y261" s="146"/>
      <c r="Z261" s="146"/>
    </row>
    <row r="262" spans="1:26" ht="15.75" customHeight="1" x14ac:dyDescent="0.25">
      <c r="A262" s="146"/>
      <c r="B262" s="146"/>
      <c r="C262" s="146"/>
      <c r="D262" s="146"/>
      <c r="E262" s="146"/>
      <c r="F262" s="146"/>
      <c r="G262" s="146"/>
      <c r="H262" s="146"/>
      <c r="I262" s="146"/>
      <c r="J262" s="146"/>
      <c r="K262" s="146"/>
      <c r="L262" s="146"/>
      <c r="M262" s="146"/>
      <c r="N262" s="146"/>
      <c r="O262" s="146"/>
      <c r="P262" s="146"/>
      <c r="Q262" s="146"/>
      <c r="R262" s="146"/>
      <c r="S262" s="146"/>
      <c r="T262" s="146"/>
      <c r="U262" s="146"/>
      <c r="V262" s="146"/>
      <c r="W262" s="146"/>
      <c r="X262" s="146"/>
      <c r="Y262" s="146"/>
      <c r="Z262" s="146"/>
    </row>
    <row r="263" spans="1:26" ht="15.75" customHeight="1" x14ac:dyDescent="0.25">
      <c r="A263" s="146"/>
      <c r="B263" s="146"/>
      <c r="C263" s="146"/>
      <c r="D263" s="146"/>
      <c r="E263" s="146"/>
      <c r="F263" s="146"/>
      <c r="G263" s="146"/>
      <c r="H263" s="146"/>
      <c r="I263" s="146"/>
      <c r="J263" s="146"/>
      <c r="K263" s="146"/>
      <c r="L263" s="146"/>
      <c r="M263" s="146"/>
      <c r="N263" s="146"/>
      <c r="O263" s="146"/>
      <c r="P263" s="146"/>
      <c r="Q263" s="146"/>
      <c r="R263" s="146"/>
      <c r="S263" s="146"/>
      <c r="T263" s="146"/>
      <c r="U263" s="146"/>
      <c r="V263" s="146"/>
      <c r="W263" s="146"/>
      <c r="X263" s="146"/>
      <c r="Y263" s="146"/>
      <c r="Z263" s="146"/>
    </row>
    <row r="264" spans="1:26" ht="15.75" customHeight="1" x14ac:dyDescent="0.25">
      <c r="A264" s="146"/>
      <c r="B264" s="146"/>
      <c r="C264" s="146"/>
      <c r="D264" s="146"/>
      <c r="E264" s="146"/>
      <c r="F264" s="146"/>
      <c r="G264" s="146"/>
      <c r="H264" s="146"/>
      <c r="I264" s="146"/>
      <c r="J264" s="146"/>
      <c r="K264" s="146"/>
      <c r="L264" s="146"/>
      <c r="M264" s="146"/>
      <c r="N264" s="146"/>
      <c r="O264" s="146"/>
      <c r="P264" s="146"/>
      <c r="Q264" s="146"/>
      <c r="R264" s="146"/>
      <c r="S264" s="146"/>
      <c r="T264" s="146"/>
      <c r="U264" s="146"/>
      <c r="V264" s="146"/>
      <c r="W264" s="146"/>
      <c r="X264" s="146"/>
      <c r="Y264" s="146"/>
      <c r="Z264" s="146"/>
    </row>
    <row r="265" spans="1:26" ht="15.75" customHeight="1" x14ac:dyDescent="0.25">
      <c r="A265" s="146"/>
      <c r="B265" s="146"/>
      <c r="C265" s="146"/>
      <c r="D265" s="146"/>
      <c r="E265" s="146"/>
      <c r="F265" s="146"/>
      <c r="G265" s="146"/>
      <c r="H265" s="146"/>
      <c r="I265" s="146"/>
      <c r="J265" s="146"/>
      <c r="K265" s="146"/>
      <c r="L265" s="146"/>
      <c r="M265" s="146"/>
      <c r="N265" s="146"/>
      <c r="O265" s="146"/>
      <c r="P265" s="146"/>
      <c r="Q265" s="146"/>
      <c r="R265" s="146"/>
      <c r="S265" s="146"/>
      <c r="T265" s="146"/>
      <c r="U265" s="146"/>
      <c r="V265" s="146"/>
      <c r="W265" s="146"/>
      <c r="X265" s="146"/>
      <c r="Y265" s="146"/>
      <c r="Z265" s="146"/>
    </row>
    <row r="266" spans="1:26" ht="15.75" customHeight="1" x14ac:dyDescent="0.25">
      <c r="A266" s="146"/>
      <c r="B266" s="146"/>
      <c r="C266" s="146"/>
      <c r="D266" s="146"/>
      <c r="E266" s="146"/>
      <c r="F266" s="146"/>
      <c r="G266" s="146"/>
      <c r="H266" s="146"/>
      <c r="I266" s="146"/>
      <c r="J266" s="146"/>
      <c r="K266" s="146"/>
      <c r="L266" s="146"/>
      <c r="M266" s="146"/>
      <c r="N266" s="146"/>
      <c r="O266" s="146"/>
      <c r="P266" s="146"/>
      <c r="Q266" s="146"/>
      <c r="R266" s="146"/>
      <c r="S266" s="146"/>
      <c r="T266" s="146"/>
      <c r="U266" s="146"/>
      <c r="V266" s="146"/>
      <c r="W266" s="146"/>
      <c r="X266" s="146"/>
      <c r="Y266" s="146"/>
      <c r="Z266" s="146"/>
    </row>
    <row r="267" spans="1:26" ht="15.75" customHeight="1" x14ac:dyDescent="0.25">
      <c r="A267" s="146"/>
      <c r="B267" s="146"/>
      <c r="C267" s="146"/>
      <c r="D267" s="146"/>
      <c r="E267" s="146"/>
      <c r="F267" s="146"/>
      <c r="G267" s="146"/>
      <c r="H267" s="146"/>
      <c r="I267" s="146"/>
      <c r="J267" s="146"/>
      <c r="K267" s="146"/>
      <c r="L267" s="146"/>
      <c r="M267" s="146"/>
      <c r="N267" s="146"/>
      <c r="O267" s="146"/>
      <c r="P267" s="146"/>
      <c r="Q267" s="146"/>
      <c r="R267" s="146"/>
      <c r="S267" s="146"/>
      <c r="T267" s="146"/>
      <c r="U267" s="146"/>
      <c r="V267" s="146"/>
      <c r="W267" s="146"/>
      <c r="X267" s="146"/>
      <c r="Y267" s="146"/>
      <c r="Z267" s="146"/>
    </row>
    <row r="268" spans="1:26" ht="15.75" customHeight="1" x14ac:dyDescent="0.25">
      <c r="A268" s="146"/>
      <c r="B268" s="146"/>
      <c r="C268" s="146"/>
      <c r="D268" s="146"/>
      <c r="E268" s="146"/>
      <c r="F268" s="146"/>
      <c r="G268" s="146"/>
      <c r="H268" s="146"/>
      <c r="I268" s="146"/>
      <c r="J268" s="146"/>
      <c r="K268" s="146"/>
      <c r="L268" s="146"/>
      <c r="M268" s="146"/>
      <c r="N268" s="146"/>
      <c r="O268" s="146"/>
      <c r="P268" s="146"/>
      <c r="Q268" s="146"/>
      <c r="R268" s="146"/>
      <c r="S268" s="146"/>
      <c r="T268" s="146"/>
      <c r="U268" s="146"/>
      <c r="V268" s="146"/>
      <c r="W268" s="146"/>
      <c r="X268" s="146"/>
      <c r="Y268" s="146"/>
      <c r="Z268" s="146"/>
    </row>
    <row r="269" spans="1:26" ht="15.75" customHeight="1" x14ac:dyDescent="0.25">
      <c r="A269" s="146"/>
      <c r="B269" s="146"/>
      <c r="C269" s="146"/>
      <c r="D269" s="146"/>
      <c r="E269" s="146"/>
      <c r="F269" s="146"/>
      <c r="G269" s="146"/>
      <c r="H269" s="146"/>
      <c r="I269" s="146"/>
      <c r="J269" s="146"/>
      <c r="K269" s="146"/>
      <c r="L269" s="146"/>
      <c r="M269" s="146"/>
      <c r="N269" s="146"/>
      <c r="O269" s="146"/>
      <c r="P269" s="146"/>
      <c r="Q269" s="146"/>
      <c r="R269" s="146"/>
      <c r="S269" s="146"/>
      <c r="T269" s="146"/>
      <c r="U269" s="146"/>
      <c r="V269" s="146"/>
      <c r="W269" s="146"/>
      <c r="X269" s="146"/>
      <c r="Y269" s="146"/>
      <c r="Z269" s="146"/>
    </row>
    <row r="270" spans="1:26" ht="15.75" customHeight="1" x14ac:dyDescent="0.25">
      <c r="A270" s="146"/>
      <c r="B270" s="146"/>
      <c r="C270" s="146"/>
      <c r="D270" s="146"/>
      <c r="E270" s="146"/>
      <c r="F270" s="146"/>
      <c r="G270" s="146"/>
      <c r="H270" s="146"/>
      <c r="I270" s="146"/>
      <c r="J270" s="146"/>
      <c r="K270" s="146"/>
      <c r="L270" s="146"/>
      <c r="M270" s="146"/>
      <c r="N270" s="146"/>
      <c r="O270" s="146"/>
      <c r="P270" s="146"/>
      <c r="Q270" s="146"/>
      <c r="R270" s="146"/>
      <c r="S270" s="146"/>
      <c r="T270" s="146"/>
      <c r="U270" s="146"/>
      <c r="V270" s="146"/>
      <c r="W270" s="146"/>
      <c r="X270" s="146"/>
      <c r="Y270" s="146"/>
      <c r="Z270" s="146"/>
    </row>
    <row r="271" spans="1:26" ht="15.75" customHeight="1" x14ac:dyDescent="0.25">
      <c r="A271" s="146"/>
      <c r="B271" s="146"/>
      <c r="C271" s="146"/>
      <c r="D271" s="146"/>
      <c r="E271" s="146"/>
      <c r="F271" s="146"/>
      <c r="G271" s="146"/>
      <c r="H271" s="146"/>
      <c r="I271" s="146"/>
      <c r="J271" s="146"/>
      <c r="K271" s="146"/>
      <c r="L271" s="146"/>
      <c r="M271" s="146"/>
      <c r="N271" s="146"/>
      <c r="O271" s="146"/>
      <c r="P271" s="146"/>
      <c r="Q271" s="146"/>
      <c r="R271" s="146"/>
      <c r="S271" s="146"/>
      <c r="T271" s="146"/>
      <c r="U271" s="146"/>
      <c r="V271" s="146"/>
      <c r="W271" s="146"/>
      <c r="X271" s="146"/>
      <c r="Y271" s="146"/>
      <c r="Z271" s="146"/>
    </row>
    <row r="272" spans="1:26" ht="15.75" customHeight="1" x14ac:dyDescent="0.25">
      <c r="A272" s="146"/>
      <c r="B272" s="146"/>
      <c r="C272" s="146"/>
      <c r="D272" s="146"/>
      <c r="E272" s="146"/>
      <c r="F272" s="146"/>
      <c r="G272" s="146"/>
      <c r="H272" s="146"/>
      <c r="I272" s="146"/>
      <c r="J272" s="146"/>
      <c r="K272" s="146"/>
      <c r="L272" s="146"/>
      <c r="M272" s="146"/>
      <c r="N272" s="146"/>
      <c r="O272" s="146"/>
      <c r="P272" s="146"/>
      <c r="Q272" s="146"/>
      <c r="R272" s="146"/>
      <c r="S272" s="146"/>
      <c r="T272" s="146"/>
      <c r="U272" s="146"/>
      <c r="V272" s="146"/>
      <c r="W272" s="146"/>
      <c r="X272" s="146"/>
      <c r="Y272" s="146"/>
      <c r="Z272" s="146"/>
    </row>
    <row r="273" spans="1:26" ht="15.75" customHeight="1" x14ac:dyDescent="0.25">
      <c r="A273" s="146"/>
      <c r="B273" s="146"/>
      <c r="C273" s="146"/>
      <c r="D273" s="146"/>
      <c r="E273" s="146"/>
      <c r="F273" s="146"/>
      <c r="G273" s="146"/>
      <c r="H273" s="146"/>
      <c r="I273" s="146"/>
      <c r="J273" s="146"/>
      <c r="K273" s="146"/>
      <c r="L273" s="146"/>
      <c r="M273" s="146"/>
      <c r="N273" s="146"/>
      <c r="O273" s="146"/>
      <c r="P273" s="146"/>
      <c r="Q273" s="146"/>
      <c r="R273" s="146"/>
      <c r="S273" s="146"/>
      <c r="T273" s="146"/>
      <c r="U273" s="146"/>
      <c r="V273" s="146"/>
      <c r="W273" s="146"/>
      <c r="X273" s="146"/>
      <c r="Y273" s="146"/>
      <c r="Z273" s="146"/>
    </row>
    <row r="274" spans="1:26" ht="15.75" customHeight="1" x14ac:dyDescent="0.25">
      <c r="A274" s="146"/>
      <c r="B274" s="146"/>
      <c r="C274" s="146"/>
      <c r="D274" s="146"/>
      <c r="E274" s="146"/>
      <c r="F274" s="146"/>
      <c r="G274" s="146"/>
      <c r="H274" s="146"/>
      <c r="I274" s="146"/>
      <c r="J274" s="146"/>
      <c r="K274" s="146"/>
      <c r="L274" s="146"/>
      <c r="M274" s="146"/>
      <c r="N274" s="146"/>
      <c r="O274" s="146"/>
      <c r="P274" s="146"/>
      <c r="Q274" s="146"/>
      <c r="R274" s="146"/>
      <c r="S274" s="146"/>
      <c r="T274" s="146"/>
      <c r="U274" s="146"/>
      <c r="V274" s="146"/>
      <c r="W274" s="146"/>
      <c r="X274" s="146"/>
      <c r="Y274" s="146"/>
      <c r="Z274" s="146"/>
    </row>
    <row r="275" spans="1:26" ht="15.75" customHeight="1" x14ac:dyDescent="0.25">
      <c r="A275" s="146"/>
      <c r="B275" s="146"/>
      <c r="C275" s="146"/>
      <c r="D275" s="146"/>
      <c r="E275" s="146"/>
      <c r="F275" s="146"/>
      <c r="G275" s="146"/>
      <c r="H275" s="146"/>
      <c r="I275" s="146"/>
      <c r="J275" s="146"/>
      <c r="K275" s="146"/>
      <c r="L275" s="146"/>
      <c r="M275" s="146"/>
      <c r="N275" s="146"/>
      <c r="O275" s="146"/>
      <c r="P275" s="146"/>
      <c r="Q275" s="146"/>
      <c r="R275" s="146"/>
      <c r="S275" s="146"/>
      <c r="T275" s="146"/>
      <c r="U275" s="146"/>
      <c r="V275" s="146"/>
      <c r="W275" s="146"/>
      <c r="X275" s="146"/>
      <c r="Y275" s="146"/>
      <c r="Z275" s="146"/>
    </row>
    <row r="276" spans="1:26" ht="15.75" customHeight="1" x14ac:dyDescent="0.25">
      <c r="A276" s="146"/>
      <c r="B276" s="146"/>
      <c r="C276" s="146"/>
      <c r="D276" s="146"/>
      <c r="E276" s="146"/>
      <c r="F276" s="146"/>
      <c r="G276" s="146"/>
      <c r="H276" s="146"/>
      <c r="I276" s="146"/>
      <c r="J276" s="146"/>
      <c r="K276" s="146"/>
      <c r="L276" s="146"/>
      <c r="M276" s="146"/>
      <c r="N276" s="146"/>
      <c r="O276" s="146"/>
      <c r="P276" s="146"/>
      <c r="Q276" s="146"/>
      <c r="R276" s="146"/>
      <c r="S276" s="146"/>
      <c r="T276" s="146"/>
      <c r="U276" s="146"/>
      <c r="V276" s="146"/>
      <c r="W276" s="146"/>
      <c r="X276" s="146"/>
      <c r="Y276" s="146"/>
      <c r="Z276" s="146"/>
    </row>
    <row r="277" spans="1:26" ht="15.75" customHeight="1" x14ac:dyDescent="0.25">
      <c r="A277" s="146"/>
      <c r="B277" s="146"/>
      <c r="C277" s="146"/>
      <c r="D277" s="146"/>
      <c r="E277" s="146"/>
      <c r="F277" s="146"/>
      <c r="G277" s="146"/>
      <c r="H277" s="146"/>
      <c r="I277" s="146"/>
      <c r="J277" s="146"/>
      <c r="K277" s="146"/>
      <c r="L277" s="146"/>
      <c r="M277" s="146"/>
      <c r="N277" s="146"/>
      <c r="O277" s="146"/>
      <c r="P277" s="146"/>
      <c r="Q277" s="146"/>
      <c r="R277" s="146"/>
      <c r="S277" s="146"/>
      <c r="T277" s="146"/>
      <c r="U277" s="146"/>
      <c r="V277" s="146"/>
      <c r="W277" s="146"/>
      <c r="X277" s="146"/>
      <c r="Y277" s="146"/>
      <c r="Z277" s="146"/>
    </row>
    <row r="278" spans="1:26" ht="15.75" customHeight="1" x14ac:dyDescent="0.25">
      <c r="A278" s="146"/>
      <c r="B278" s="146"/>
      <c r="C278" s="146"/>
      <c r="D278" s="146"/>
      <c r="E278" s="146"/>
      <c r="F278" s="146"/>
      <c r="G278" s="146"/>
      <c r="H278" s="146"/>
      <c r="I278" s="146"/>
      <c r="J278" s="146"/>
      <c r="K278" s="146"/>
      <c r="L278" s="146"/>
      <c r="M278" s="146"/>
      <c r="N278" s="146"/>
      <c r="O278" s="146"/>
      <c r="P278" s="146"/>
      <c r="Q278" s="146"/>
      <c r="R278" s="146"/>
      <c r="S278" s="146"/>
      <c r="T278" s="146"/>
      <c r="U278" s="146"/>
      <c r="V278" s="146"/>
      <c r="W278" s="146"/>
      <c r="X278" s="146"/>
      <c r="Y278" s="146"/>
      <c r="Z278" s="146"/>
    </row>
    <row r="279" spans="1:26" ht="15.75" customHeight="1" x14ac:dyDescent="0.25">
      <c r="A279" s="146"/>
      <c r="B279" s="146"/>
      <c r="C279" s="146"/>
      <c r="D279" s="146"/>
      <c r="E279" s="146"/>
      <c r="F279" s="146"/>
      <c r="G279" s="146"/>
      <c r="H279" s="146"/>
      <c r="I279" s="146"/>
      <c r="J279" s="146"/>
      <c r="K279" s="146"/>
      <c r="L279" s="146"/>
      <c r="M279" s="146"/>
      <c r="N279" s="146"/>
      <c r="O279" s="146"/>
      <c r="P279" s="146"/>
      <c r="Q279" s="146"/>
      <c r="R279" s="146"/>
      <c r="S279" s="146"/>
      <c r="T279" s="146"/>
      <c r="U279" s="146"/>
      <c r="V279" s="146"/>
      <c r="W279" s="146"/>
      <c r="X279" s="146"/>
      <c r="Y279" s="146"/>
      <c r="Z279" s="146"/>
    </row>
    <row r="280" spans="1:26" ht="15.75" customHeight="1" x14ac:dyDescent="0.25">
      <c r="A280" s="146"/>
      <c r="B280" s="146"/>
      <c r="C280" s="146"/>
      <c r="D280" s="146"/>
      <c r="E280" s="146"/>
      <c r="F280" s="146"/>
      <c r="G280" s="146"/>
      <c r="H280" s="146"/>
      <c r="I280" s="146"/>
      <c r="J280" s="146"/>
      <c r="K280" s="146"/>
      <c r="L280" s="146"/>
      <c r="M280" s="146"/>
      <c r="N280" s="146"/>
      <c r="O280" s="146"/>
      <c r="P280" s="146"/>
      <c r="Q280" s="146"/>
      <c r="R280" s="146"/>
      <c r="S280" s="146"/>
      <c r="T280" s="146"/>
      <c r="U280" s="146"/>
      <c r="V280" s="146"/>
      <c r="W280" s="146"/>
      <c r="X280" s="146"/>
      <c r="Y280" s="146"/>
      <c r="Z280" s="146"/>
    </row>
    <row r="281" spans="1:26" ht="15.75" customHeight="1" x14ac:dyDescent="0.25">
      <c r="A281" s="146"/>
      <c r="B281" s="146"/>
      <c r="C281" s="146"/>
      <c r="D281" s="146"/>
      <c r="E281" s="146"/>
      <c r="F281" s="146"/>
      <c r="G281" s="146"/>
      <c r="H281" s="146"/>
      <c r="I281" s="146"/>
      <c r="J281" s="146"/>
      <c r="K281" s="146"/>
      <c r="L281" s="146"/>
      <c r="M281" s="146"/>
      <c r="N281" s="146"/>
      <c r="O281" s="146"/>
      <c r="P281" s="146"/>
      <c r="Q281" s="146"/>
      <c r="R281" s="146"/>
      <c r="S281" s="146"/>
      <c r="T281" s="146"/>
      <c r="U281" s="146"/>
      <c r="V281" s="146"/>
      <c r="W281" s="146"/>
      <c r="X281" s="146"/>
      <c r="Y281" s="146"/>
      <c r="Z281" s="146"/>
    </row>
    <row r="282" spans="1:26" ht="15.75" customHeight="1" x14ac:dyDescent="0.25">
      <c r="A282" s="146"/>
      <c r="B282" s="146"/>
      <c r="C282" s="146"/>
      <c r="D282" s="146"/>
      <c r="E282" s="146"/>
      <c r="F282" s="146"/>
      <c r="G282" s="146"/>
      <c r="H282" s="146"/>
      <c r="I282" s="146"/>
      <c r="J282" s="146"/>
      <c r="K282" s="146"/>
      <c r="L282" s="146"/>
      <c r="M282" s="146"/>
      <c r="N282" s="146"/>
      <c r="O282" s="146"/>
      <c r="P282" s="146"/>
      <c r="Q282" s="146"/>
      <c r="R282" s="146"/>
      <c r="S282" s="146"/>
      <c r="T282" s="146"/>
      <c r="U282" s="146"/>
      <c r="V282" s="146"/>
      <c r="W282" s="146"/>
      <c r="X282" s="146"/>
      <c r="Y282" s="146"/>
      <c r="Z282" s="146"/>
    </row>
    <row r="283" spans="1:26" ht="15.75" customHeight="1" x14ac:dyDescent="0.25">
      <c r="A283" s="146"/>
      <c r="B283" s="146"/>
      <c r="C283" s="146"/>
      <c r="D283" s="146"/>
      <c r="E283" s="146"/>
      <c r="F283" s="146"/>
      <c r="G283" s="146"/>
      <c r="H283" s="146"/>
      <c r="I283" s="146"/>
      <c r="J283" s="146"/>
      <c r="K283" s="146"/>
      <c r="L283" s="146"/>
      <c r="M283" s="146"/>
      <c r="N283" s="146"/>
      <c r="O283" s="146"/>
      <c r="P283" s="146"/>
      <c r="Q283" s="146"/>
      <c r="R283" s="146"/>
      <c r="S283" s="146"/>
      <c r="T283" s="146"/>
      <c r="U283" s="146"/>
      <c r="V283" s="146"/>
      <c r="W283" s="146"/>
      <c r="X283" s="146"/>
      <c r="Y283" s="146"/>
      <c r="Z283" s="146"/>
    </row>
    <row r="284" spans="1:26" ht="15.75" customHeight="1" x14ac:dyDescent="0.25">
      <c r="A284" s="146"/>
      <c r="B284" s="146"/>
      <c r="C284" s="146"/>
      <c r="D284" s="146"/>
      <c r="E284" s="146"/>
      <c r="F284" s="146"/>
      <c r="G284" s="146"/>
      <c r="H284" s="146"/>
      <c r="I284" s="146"/>
      <c r="J284" s="146"/>
      <c r="K284" s="146"/>
      <c r="L284" s="146"/>
      <c r="M284" s="146"/>
      <c r="N284" s="146"/>
      <c r="O284" s="146"/>
      <c r="P284" s="146"/>
      <c r="Q284" s="146"/>
      <c r="R284" s="146"/>
      <c r="S284" s="146"/>
      <c r="T284" s="146"/>
      <c r="U284" s="146"/>
      <c r="V284" s="146"/>
      <c r="W284" s="146"/>
      <c r="X284" s="146"/>
      <c r="Y284" s="146"/>
      <c r="Z284" s="146"/>
    </row>
    <row r="285" spans="1:26" ht="15.75" customHeight="1" x14ac:dyDescent="0.25">
      <c r="A285" s="146"/>
      <c r="B285" s="146"/>
      <c r="C285" s="146"/>
      <c r="D285" s="146"/>
      <c r="E285" s="146"/>
      <c r="F285" s="146"/>
      <c r="G285" s="146"/>
      <c r="H285" s="146"/>
      <c r="I285" s="146"/>
      <c r="J285" s="146"/>
      <c r="K285" s="146"/>
      <c r="L285" s="146"/>
      <c r="M285" s="146"/>
      <c r="N285" s="146"/>
      <c r="O285" s="146"/>
      <c r="P285" s="146"/>
      <c r="Q285" s="146"/>
      <c r="R285" s="146"/>
      <c r="S285" s="146"/>
      <c r="T285" s="146"/>
      <c r="U285" s="146"/>
      <c r="V285" s="146"/>
      <c r="W285" s="146"/>
      <c r="X285" s="146"/>
      <c r="Y285" s="146"/>
      <c r="Z285" s="146"/>
    </row>
    <row r="286" spans="1:26" ht="15.75" customHeight="1" x14ac:dyDescent="0.25">
      <c r="A286" s="146"/>
      <c r="B286" s="146"/>
      <c r="C286" s="146"/>
      <c r="D286" s="146"/>
      <c r="E286" s="146"/>
      <c r="F286" s="146"/>
      <c r="G286" s="146"/>
      <c r="H286" s="146"/>
      <c r="I286" s="146"/>
      <c r="J286" s="146"/>
      <c r="K286" s="146"/>
      <c r="L286" s="146"/>
      <c r="M286" s="146"/>
      <c r="N286" s="146"/>
      <c r="O286" s="146"/>
      <c r="P286" s="146"/>
      <c r="Q286" s="146"/>
      <c r="R286" s="146"/>
      <c r="S286" s="146"/>
      <c r="T286" s="146"/>
      <c r="U286" s="146"/>
      <c r="V286" s="146"/>
      <c r="W286" s="146"/>
      <c r="X286" s="146"/>
      <c r="Y286" s="146"/>
      <c r="Z286" s="146"/>
    </row>
    <row r="287" spans="1:26" ht="15.75" customHeight="1" x14ac:dyDescent="0.25">
      <c r="A287" s="146"/>
      <c r="B287" s="146"/>
      <c r="C287" s="146"/>
      <c r="D287" s="146"/>
      <c r="E287" s="146"/>
      <c r="F287" s="146"/>
      <c r="G287" s="146"/>
      <c r="H287" s="146"/>
      <c r="I287" s="146"/>
      <c r="J287" s="146"/>
      <c r="K287" s="146"/>
      <c r="L287" s="146"/>
      <c r="M287" s="146"/>
      <c r="N287" s="146"/>
      <c r="O287" s="146"/>
      <c r="P287" s="146"/>
      <c r="Q287" s="146"/>
      <c r="R287" s="146"/>
      <c r="S287" s="146"/>
      <c r="T287" s="146"/>
      <c r="U287" s="146"/>
      <c r="V287" s="146"/>
      <c r="W287" s="146"/>
      <c r="X287" s="146"/>
      <c r="Y287" s="146"/>
      <c r="Z287" s="146"/>
    </row>
    <row r="288" spans="1:26" ht="15.75" customHeight="1" x14ac:dyDescent="0.25">
      <c r="A288" s="146"/>
      <c r="B288" s="146"/>
      <c r="C288" s="146"/>
      <c r="D288" s="146"/>
      <c r="E288" s="146"/>
      <c r="F288" s="146"/>
      <c r="G288" s="146"/>
      <c r="H288" s="146"/>
      <c r="I288" s="146"/>
      <c r="J288" s="146"/>
      <c r="K288" s="146"/>
      <c r="L288" s="146"/>
      <c r="M288" s="146"/>
      <c r="N288" s="146"/>
      <c r="O288" s="146"/>
      <c r="P288" s="146"/>
      <c r="Q288" s="146"/>
      <c r="R288" s="146"/>
      <c r="S288" s="146"/>
      <c r="T288" s="146"/>
      <c r="U288" s="146"/>
      <c r="V288" s="146"/>
      <c r="W288" s="146"/>
      <c r="X288" s="146"/>
      <c r="Y288" s="146"/>
      <c r="Z288" s="146"/>
    </row>
    <row r="289" spans="1:26" ht="15.75" customHeight="1" x14ac:dyDescent="0.25">
      <c r="A289" s="146"/>
      <c r="B289" s="146"/>
      <c r="C289" s="146"/>
      <c r="D289" s="146"/>
      <c r="E289" s="146"/>
      <c r="F289" s="146"/>
      <c r="G289" s="146"/>
      <c r="H289" s="146"/>
      <c r="I289" s="146"/>
      <c r="J289" s="146"/>
      <c r="K289" s="146"/>
      <c r="L289" s="146"/>
      <c r="M289" s="146"/>
      <c r="N289" s="146"/>
      <c r="O289" s="146"/>
      <c r="P289" s="146"/>
      <c r="Q289" s="146"/>
      <c r="R289" s="146"/>
      <c r="S289" s="146"/>
      <c r="T289" s="146"/>
      <c r="U289" s="146"/>
      <c r="V289" s="146"/>
      <c r="W289" s="146"/>
      <c r="X289" s="146"/>
      <c r="Y289" s="146"/>
      <c r="Z289" s="146"/>
    </row>
    <row r="290" spans="1:26" ht="15.75" customHeight="1" x14ac:dyDescent="0.25">
      <c r="A290" s="146"/>
      <c r="B290" s="146"/>
      <c r="C290" s="146"/>
      <c r="D290" s="146"/>
      <c r="E290" s="146"/>
      <c r="F290" s="146"/>
      <c r="G290" s="146"/>
      <c r="H290" s="146"/>
      <c r="I290" s="146"/>
      <c r="J290" s="146"/>
      <c r="K290" s="146"/>
      <c r="L290" s="146"/>
      <c r="M290" s="146"/>
      <c r="N290" s="146"/>
      <c r="O290" s="146"/>
      <c r="P290" s="146"/>
      <c r="Q290" s="146"/>
      <c r="R290" s="146"/>
      <c r="S290" s="146"/>
      <c r="T290" s="146"/>
      <c r="U290" s="146"/>
      <c r="V290" s="146"/>
      <c r="W290" s="146"/>
      <c r="X290" s="146"/>
      <c r="Y290" s="146"/>
      <c r="Z290" s="146"/>
    </row>
    <row r="291" spans="1:26" ht="15.75" customHeight="1" x14ac:dyDescent="0.25">
      <c r="A291" s="146"/>
      <c r="B291" s="146"/>
      <c r="C291" s="146"/>
      <c r="D291" s="146"/>
      <c r="E291" s="146"/>
      <c r="F291" s="146"/>
      <c r="G291" s="146"/>
      <c r="H291" s="146"/>
      <c r="I291" s="146"/>
      <c r="J291" s="146"/>
      <c r="K291" s="146"/>
      <c r="L291" s="146"/>
      <c r="M291" s="146"/>
      <c r="N291" s="146"/>
      <c r="O291" s="146"/>
      <c r="P291" s="146"/>
      <c r="Q291" s="146"/>
      <c r="R291" s="146"/>
      <c r="S291" s="146"/>
      <c r="T291" s="146"/>
      <c r="U291" s="146"/>
      <c r="V291" s="146"/>
      <c r="W291" s="146"/>
      <c r="X291" s="146"/>
      <c r="Y291" s="146"/>
      <c r="Z291" s="146"/>
    </row>
    <row r="292" spans="1:26" ht="15.75" customHeight="1" x14ac:dyDescent="0.25">
      <c r="A292" s="146"/>
      <c r="B292" s="146"/>
      <c r="C292" s="146"/>
      <c r="D292" s="146"/>
      <c r="E292" s="146"/>
      <c r="F292" s="146"/>
      <c r="G292" s="146"/>
      <c r="H292" s="146"/>
      <c r="I292" s="146"/>
      <c r="J292" s="146"/>
      <c r="K292" s="146"/>
      <c r="L292" s="146"/>
      <c r="M292" s="146"/>
      <c r="N292" s="146"/>
      <c r="O292" s="146"/>
      <c r="P292" s="146"/>
      <c r="Q292" s="146"/>
      <c r="R292" s="146"/>
      <c r="S292" s="146"/>
      <c r="T292" s="146"/>
      <c r="U292" s="146"/>
      <c r="V292" s="146"/>
      <c r="W292" s="146"/>
      <c r="X292" s="146"/>
      <c r="Y292" s="146"/>
      <c r="Z292" s="146"/>
    </row>
    <row r="293" spans="1:26" ht="15.75" customHeight="1" x14ac:dyDescent="0.25">
      <c r="A293" s="146"/>
      <c r="B293" s="146"/>
      <c r="C293" s="146"/>
      <c r="D293" s="146"/>
      <c r="E293" s="146"/>
      <c r="F293" s="146"/>
      <c r="G293" s="146"/>
      <c r="H293" s="146"/>
      <c r="I293" s="146"/>
      <c r="J293" s="146"/>
      <c r="K293" s="146"/>
      <c r="L293" s="146"/>
      <c r="M293" s="146"/>
      <c r="N293" s="146"/>
      <c r="O293" s="146"/>
      <c r="P293" s="146"/>
      <c r="Q293" s="146"/>
      <c r="R293" s="146"/>
      <c r="S293" s="146"/>
      <c r="T293" s="146"/>
      <c r="U293" s="146"/>
      <c r="V293" s="146"/>
      <c r="W293" s="146"/>
      <c r="X293" s="146"/>
      <c r="Y293" s="146"/>
      <c r="Z293" s="146"/>
    </row>
    <row r="294" spans="1:26" ht="15.75" customHeight="1" x14ac:dyDescent="0.25">
      <c r="A294" s="146"/>
      <c r="B294" s="146"/>
      <c r="C294" s="146"/>
      <c r="D294" s="146"/>
      <c r="E294" s="146"/>
      <c r="F294" s="146"/>
      <c r="G294" s="146"/>
      <c r="H294" s="146"/>
      <c r="I294" s="146"/>
      <c r="J294" s="146"/>
      <c r="K294" s="146"/>
      <c r="L294" s="146"/>
      <c r="M294" s="146"/>
      <c r="N294" s="146"/>
      <c r="O294" s="146"/>
      <c r="P294" s="146"/>
      <c r="Q294" s="146"/>
      <c r="R294" s="146"/>
      <c r="S294" s="146"/>
      <c r="T294" s="146"/>
      <c r="U294" s="146"/>
      <c r="V294" s="146"/>
      <c r="W294" s="146"/>
      <c r="X294" s="146"/>
      <c r="Y294" s="146"/>
      <c r="Z294" s="146"/>
    </row>
    <row r="295" spans="1:26" ht="15.75" customHeight="1" x14ac:dyDescent="0.25">
      <c r="A295" s="146"/>
      <c r="B295" s="146"/>
      <c r="C295" s="146"/>
      <c r="D295" s="146"/>
      <c r="E295" s="146"/>
      <c r="F295" s="146"/>
      <c r="G295" s="146"/>
      <c r="H295" s="146"/>
      <c r="I295" s="146"/>
      <c r="J295" s="146"/>
      <c r="K295" s="146"/>
      <c r="L295" s="146"/>
      <c r="M295" s="146"/>
      <c r="N295" s="146"/>
      <c r="O295" s="146"/>
      <c r="P295" s="146"/>
      <c r="Q295" s="146"/>
      <c r="R295" s="146"/>
      <c r="S295" s="146"/>
      <c r="T295" s="146"/>
      <c r="U295" s="146"/>
      <c r="V295" s="146"/>
      <c r="W295" s="146"/>
      <c r="X295" s="146"/>
      <c r="Y295" s="146"/>
      <c r="Z295" s="146"/>
    </row>
    <row r="296" spans="1:26" ht="15.75" customHeight="1" x14ac:dyDescent="0.25">
      <c r="A296" s="146"/>
      <c r="B296" s="146"/>
      <c r="C296" s="146"/>
      <c r="D296" s="146"/>
      <c r="E296" s="146"/>
      <c r="F296" s="146"/>
      <c r="G296" s="146"/>
      <c r="H296" s="146"/>
      <c r="I296" s="146"/>
      <c r="J296" s="146"/>
      <c r="K296" s="146"/>
      <c r="L296" s="146"/>
      <c r="M296" s="146"/>
      <c r="N296" s="146"/>
      <c r="O296" s="146"/>
      <c r="P296" s="146"/>
      <c r="Q296" s="146"/>
      <c r="R296" s="146"/>
      <c r="S296" s="146"/>
      <c r="T296" s="146"/>
      <c r="U296" s="146"/>
      <c r="V296" s="146"/>
      <c r="W296" s="146"/>
      <c r="X296" s="146"/>
      <c r="Y296" s="146"/>
      <c r="Z296" s="146"/>
    </row>
    <row r="297" spans="1:26" ht="15.75" customHeight="1" x14ac:dyDescent="0.25">
      <c r="A297" s="146"/>
      <c r="B297" s="146"/>
      <c r="C297" s="146"/>
      <c r="D297" s="146"/>
      <c r="E297" s="146"/>
      <c r="F297" s="146"/>
      <c r="G297" s="146"/>
      <c r="H297" s="146"/>
      <c r="I297" s="146"/>
      <c r="J297" s="146"/>
      <c r="K297" s="146"/>
      <c r="L297" s="146"/>
      <c r="M297" s="146"/>
      <c r="N297" s="146"/>
      <c r="O297" s="146"/>
      <c r="P297" s="146"/>
      <c r="Q297" s="146"/>
      <c r="R297" s="146"/>
      <c r="S297" s="146"/>
      <c r="T297" s="146"/>
      <c r="U297" s="146"/>
      <c r="V297" s="146"/>
      <c r="W297" s="146"/>
      <c r="X297" s="146"/>
      <c r="Y297" s="146"/>
      <c r="Z297" s="146"/>
    </row>
    <row r="298" spans="1:26" ht="15.75" customHeight="1" x14ac:dyDescent="0.25">
      <c r="A298" s="146"/>
      <c r="B298" s="146"/>
      <c r="C298" s="146"/>
      <c r="D298" s="146"/>
      <c r="E298" s="146"/>
      <c r="F298" s="146"/>
      <c r="G298" s="146"/>
      <c r="H298" s="146"/>
      <c r="I298" s="146"/>
      <c r="J298" s="146"/>
      <c r="K298" s="146"/>
      <c r="L298" s="146"/>
      <c r="M298" s="146"/>
      <c r="N298" s="146"/>
      <c r="O298" s="146"/>
      <c r="P298" s="146"/>
      <c r="Q298" s="146"/>
      <c r="R298" s="146"/>
      <c r="S298" s="146"/>
      <c r="T298" s="146"/>
      <c r="U298" s="146"/>
      <c r="V298" s="146"/>
      <c r="W298" s="146"/>
      <c r="X298" s="146"/>
      <c r="Y298" s="146"/>
      <c r="Z298" s="146"/>
    </row>
    <row r="299" spans="1:26" ht="15.75" customHeight="1" x14ac:dyDescent="0.25">
      <c r="A299" s="146"/>
      <c r="B299" s="146"/>
      <c r="C299" s="146"/>
      <c r="D299" s="146"/>
      <c r="E299" s="146"/>
      <c r="F299" s="146"/>
      <c r="G299" s="146"/>
      <c r="H299" s="146"/>
      <c r="I299" s="146"/>
      <c r="J299" s="146"/>
      <c r="K299" s="146"/>
      <c r="L299" s="146"/>
      <c r="M299" s="146"/>
      <c r="N299" s="146"/>
      <c r="O299" s="146"/>
      <c r="P299" s="146"/>
      <c r="Q299" s="146"/>
      <c r="R299" s="146"/>
      <c r="S299" s="146"/>
      <c r="T299" s="146"/>
      <c r="U299" s="146"/>
      <c r="V299" s="146"/>
      <c r="W299" s="146"/>
      <c r="X299" s="146"/>
      <c r="Y299" s="146"/>
      <c r="Z299" s="146"/>
    </row>
    <row r="300" spans="1:26" ht="15.75" customHeight="1" x14ac:dyDescent="0.25">
      <c r="A300" s="146"/>
      <c r="B300" s="146"/>
      <c r="C300" s="146"/>
      <c r="D300" s="146"/>
      <c r="E300" s="146"/>
      <c r="F300" s="146"/>
      <c r="G300" s="146"/>
      <c r="H300" s="146"/>
      <c r="I300" s="146"/>
      <c r="J300" s="146"/>
      <c r="K300" s="146"/>
      <c r="L300" s="146"/>
      <c r="M300" s="146"/>
      <c r="N300" s="146"/>
      <c r="O300" s="146"/>
      <c r="P300" s="146"/>
      <c r="Q300" s="146"/>
      <c r="R300" s="146"/>
      <c r="S300" s="146"/>
      <c r="T300" s="146"/>
      <c r="U300" s="146"/>
      <c r="V300" s="146"/>
      <c r="W300" s="146"/>
      <c r="X300" s="146"/>
      <c r="Y300" s="146"/>
      <c r="Z300" s="146"/>
    </row>
    <row r="301" spans="1:26" ht="15.75" customHeight="1" x14ac:dyDescent="0.25">
      <c r="A301" s="146"/>
      <c r="B301" s="146"/>
      <c r="C301" s="146"/>
      <c r="D301" s="146"/>
      <c r="E301" s="146"/>
      <c r="F301" s="146"/>
      <c r="G301" s="146"/>
      <c r="H301" s="146"/>
      <c r="I301" s="146"/>
      <c r="J301" s="146"/>
      <c r="K301" s="146"/>
      <c r="L301" s="146"/>
      <c r="M301" s="146"/>
      <c r="N301" s="146"/>
      <c r="O301" s="146"/>
      <c r="P301" s="146"/>
      <c r="Q301" s="146"/>
      <c r="R301" s="146"/>
      <c r="S301" s="146"/>
      <c r="T301" s="146"/>
      <c r="U301" s="146"/>
      <c r="V301" s="146"/>
      <c r="W301" s="146"/>
      <c r="X301" s="146"/>
      <c r="Y301" s="146"/>
      <c r="Z301" s="146"/>
    </row>
    <row r="302" spans="1:26" ht="15.75" customHeight="1" x14ac:dyDescent="0.25">
      <c r="A302" s="146"/>
      <c r="B302" s="146"/>
      <c r="C302" s="146"/>
      <c r="D302" s="146"/>
      <c r="E302" s="146"/>
      <c r="F302" s="146"/>
      <c r="G302" s="146"/>
      <c r="H302" s="146"/>
      <c r="I302" s="146"/>
      <c r="J302" s="146"/>
      <c r="K302" s="146"/>
      <c r="L302" s="146"/>
      <c r="M302" s="146"/>
      <c r="N302" s="146"/>
      <c r="O302" s="146"/>
      <c r="P302" s="146"/>
      <c r="Q302" s="146"/>
      <c r="R302" s="146"/>
      <c r="S302" s="146"/>
      <c r="T302" s="146"/>
      <c r="U302" s="146"/>
      <c r="V302" s="146"/>
      <c r="W302" s="146"/>
      <c r="X302" s="146"/>
      <c r="Y302" s="146"/>
      <c r="Z302" s="146"/>
    </row>
    <row r="303" spans="1:26" ht="15.75" customHeight="1" x14ac:dyDescent="0.25">
      <c r="A303" s="146"/>
      <c r="B303" s="146"/>
      <c r="C303" s="146"/>
      <c r="D303" s="146"/>
      <c r="E303" s="146"/>
      <c r="F303" s="146"/>
      <c r="G303" s="146"/>
      <c r="H303" s="146"/>
      <c r="I303" s="146"/>
      <c r="J303" s="146"/>
      <c r="K303" s="146"/>
      <c r="L303" s="146"/>
      <c r="M303" s="146"/>
      <c r="N303" s="146"/>
      <c r="O303" s="146"/>
      <c r="P303" s="146"/>
      <c r="Q303" s="146"/>
      <c r="R303" s="146"/>
      <c r="S303" s="146"/>
      <c r="T303" s="146"/>
      <c r="U303" s="146"/>
      <c r="V303" s="146"/>
      <c r="W303" s="146"/>
      <c r="X303" s="146"/>
      <c r="Y303" s="146"/>
      <c r="Z303" s="146"/>
    </row>
    <row r="304" spans="1:26" ht="15.75" customHeight="1" x14ac:dyDescent="0.25">
      <c r="A304" s="146"/>
      <c r="B304" s="146"/>
      <c r="C304" s="146"/>
      <c r="D304" s="146"/>
      <c r="E304" s="146"/>
      <c r="F304" s="146"/>
      <c r="G304" s="146"/>
      <c r="H304" s="146"/>
      <c r="I304" s="146"/>
      <c r="J304" s="146"/>
      <c r="K304" s="146"/>
      <c r="L304" s="146"/>
      <c r="M304" s="146"/>
      <c r="N304" s="146"/>
      <c r="O304" s="146"/>
      <c r="P304" s="146"/>
      <c r="Q304" s="146"/>
      <c r="R304" s="146"/>
      <c r="S304" s="146"/>
      <c r="T304" s="146"/>
      <c r="U304" s="146"/>
      <c r="V304" s="146"/>
      <c r="W304" s="146"/>
      <c r="X304" s="146"/>
      <c r="Y304" s="146"/>
      <c r="Z304" s="146"/>
    </row>
    <row r="305" spans="1:26" ht="15.75" customHeight="1" x14ac:dyDescent="0.25">
      <c r="A305" s="146"/>
      <c r="B305" s="146"/>
      <c r="C305" s="146"/>
      <c r="D305" s="146"/>
      <c r="E305" s="146"/>
      <c r="F305" s="146"/>
      <c r="G305" s="146"/>
      <c r="H305" s="146"/>
      <c r="I305" s="146"/>
      <c r="J305" s="146"/>
      <c r="K305" s="146"/>
      <c r="L305" s="146"/>
      <c r="M305" s="146"/>
      <c r="N305" s="146"/>
      <c r="O305" s="146"/>
      <c r="P305" s="146"/>
      <c r="Q305" s="146"/>
      <c r="R305" s="146"/>
      <c r="S305" s="146"/>
      <c r="T305" s="146"/>
      <c r="U305" s="146"/>
      <c r="V305" s="146"/>
      <c r="W305" s="146"/>
      <c r="X305" s="146"/>
      <c r="Y305" s="146"/>
      <c r="Z305" s="146"/>
    </row>
    <row r="306" spans="1:26" ht="15.75" customHeight="1" x14ac:dyDescent="0.25">
      <c r="A306" s="146"/>
      <c r="B306" s="146"/>
      <c r="C306" s="146"/>
      <c r="D306" s="146"/>
      <c r="E306" s="146"/>
      <c r="F306" s="146"/>
      <c r="G306" s="146"/>
      <c r="H306" s="146"/>
      <c r="I306" s="146"/>
      <c r="J306" s="146"/>
      <c r="K306" s="146"/>
      <c r="L306" s="146"/>
      <c r="M306" s="146"/>
      <c r="N306" s="146"/>
      <c r="O306" s="146"/>
      <c r="P306" s="146"/>
      <c r="Q306" s="146"/>
      <c r="R306" s="146"/>
      <c r="S306" s="146"/>
      <c r="T306" s="146"/>
      <c r="U306" s="146"/>
      <c r="V306" s="146"/>
      <c r="W306" s="146"/>
      <c r="X306" s="146"/>
      <c r="Y306" s="146"/>
      <c r="Z306" s="146"/>
    </row>
    <row r="307" spans="1:26" ht="15.75" customHeight="1" x14ac:dyDescent="0.25">
      <c r="A307" s="146"/>
      <c r="B307" s="146"/>
      <c r="C307" s="146"/>
      <c r="D307" s="146"/>
      <c r="E307" s="146"/>
      <c r="F307" s="146"/>
      <c r="G307" s="146"/>
      <c r="H307" s="146"/>
      <c r="I307" s="146"/>
      <c r="J307" s="146"/>
      <c r="K307" s="146"/>
      <c r="L307" s="146"/>
      <c r="M307" s="146"/>
      <c r="N307" s="146"/>
      <c r="O307" s="146"/>
      <c r="P307" s="146"/>
      <c r="Q307" s="146"/>
      <c r="R307" s="146"/>
      <c r="S307" s="146"/>
      <c r="T307" s="146"/>
      <c r="U307" s="146"/>
      <c r="V307" s="146"/>
      <c r="W307" s="146"/>
      <c r="X307" s="146"/>
      <c r="Y307" s="146"/>
      <c r="Z307" s="146"/>
    </row>
    <row r="308" spans="1:26" ht="15.75" customHeight="1" x14ac:dyDescent="0.25">
      <c r="A308" s="146"/>
      <c r="B308" s="146"/>
      <c r="C308" s="146"/>
      <c r="D308" s="146"/>
      <c r="E308" s="146"/>
      <c r="F308" s="146"/>
      <c r="G308" s="146"/>
      <c r="H308" s="146"/>
      <c r="I308" s="146"/>
      <c r="J308" s="146"/>
      <c r="K308" s="146"/>
      <c r="L308" s="146"/>
      <c r="M308" s="146"/>
      <c r="N308" s="146"/>
      <c r="O308" s="146"/>
      <c r="P308" s="146"/>
      <c r="Q308" s="146"/>
      <c r="R308" s="146"/>
      <c r="S308" s="146"/>
      <c r="T308" s="146"/>
      <c r="U308" s="146"/>
      <c r="V308" s="146"/>
      <c r="W308" s="146"/>
      <c r="X308" s="146"/>
      <c r="Y308" s="146"/>
      <c r="Z308" s="146"/>
    </row>
    <row r="309" spans="1:26" ht="15.75" customHeight="1" x14ac:dyDescent="0.25">
      <c r="A309" s="146"/>
      <c r="B309" s="146"/>
      <c r="C309" s="146"/>
      <c r="D309" s="146"/>
      <c r="E309" s="146"/>
      <c r="F309" s="146"/>
      <c r="G309" s="146"/>
      <c r="H309" s="146"/>
      <c r="I309" s="146"/>
      <c r="J309" s="146"/>
      <c r="K309" s="146"/>
      <c r="L309" s="146"/>
      <c r="M309" s="146"/>
      <c r="N309" s="146"/>
      <c r="O309" s="146"/>
      <c r="P309" s="146"/>
      <c r="Q309" s="146"/>
      <c r="R309" s="146"/>
      <c r="S309" s="146"/>
      <c r="T309" s="146"/>
      <c r="U309" s="146"/>
      <c r="V309" s="146"/>
      <c r="W309" s="146"/>
      <c r="X309" s="146"/>
      <c r="Y309" s="146"/>
      <c r="Z309" s="146"/>
    </row>
    <row r="310" spans="1:26" ht="15.75" customHeight="1" x14ac:dyDescent="0.25">
      <c r="A310" s="146"/>
      <c r="B310" s="146"/>
      <c r="C310" s="146"/>
      <c r="D310" s="146"/>
      <c r="E310" s="146"/>
      <c r="F310" s="146"/>
      <c r="G310" s="146"/>
      <c r="H310" s="146"/>
      <c r="I310" s="146"/>
      <c r="J310" s="146"/>
      <c r="K310" s="146"/>
      <c r="L310" s="146"/>
      <c r="M310" s="146"/>
      <c r="N310" s="146"/>
      <c r="O310" s="146"/>
      <c r="P310" s="146"/>
      <c r="Q310" s="146"/>
      <c r="R310" s="146"/>
      <c r="S310" s="146"/>
      <c r="T310" s="146"/>
      <c r="U310" s="146"/>
      <c r="V310" s="146"/>
      <c r="W310" s="146"/>
      <c r="X310" s="146"/>
      <c r="Y310" s="146"/>
      <c r="Z310" s="146"/>
    </row>
    <row r="311" spans="1:26" ht="15.75" customHeight="1" x14ac:dyDescent="0.25">
      <c r="A311" s="146"/>
      <c r="B311" s="146"/>
      <c r="C311" s="146"/>
      <c r="D311" s="146"/>
      <c r="E311" s="146"/>
      <c r="F311" s="146"/>
      <c r="G311" s="146"/>
      <c r="H311" s="146"/>
      <c r="I311" s="146"/>
      <c r="J311" s="146"/>
      <c r="K311" s="146"/>
      <c r="L311" s="146"/>
      <c r="M311" s="146"/>
      <c r="N311" s="146"/>
      <c r="O311" s="146"/>
      <c r="P311" s="146"/>
      <c r="Q311" s="146"/>
      <c r="R311" s="146"/>
      <c r="S311" s="146"/>
      <c r="T311" s="146"/>
      <c r="U311" s="146"/>
      <c r="V311" s="146"/>
      <c r="W311" s="146"/>
      <c r="X311" s="146"/>
      <c r="Y311" s="146"/>
      <c r="Z311" s="146"/>
    </row>
    <row r="312" spans="1:26" ht="15.75" customHeight="1" x14ac:dyDescent="0.25">
      <c r="A312" s="146"/>
      <c r="B312" s="146"/>
      <c r="C312" s="146"/>
      <c r="D312" s="146"/>
      <c r="E312" s="146"/>
      <c r="F312" s="146"/>
      <c r="G312" s="146"/>
      <c r="H312" s="146"/>
      <c r="I312" s="146"/>
      <c r="J312" s="146"/>
      <c r="K312" s="146"/>
      <c r="L312" s="146"/>
      <c r="M312" s="146"/>
      <c r="N312" s="146"/>
      <c r="O312" s="146"/>
      <c r="P312" s="146"/>
      <c r="Q312" s="146"/>
      <c r="R312" s="146"/>
      <c r="S312" s="146"/>
      <c r="T312" s="146"/>
      <c r="U312" s="146"/>
      <c r="V312" s="146"/>
      <c r="W312" s="146"/>
      <c r="X312" s="146"/>
      <c r="Y312" s="146"/>
      <c r="Z312" s="146"/>
    </row>
    <row r="313" spans="1:26" ht="15.75" customHeight="1" x14ac:dyDescent="0.25">
      <c r="A313" s="146"/>
      <c r="B313" s="146"/>
      <c r="C313" s="146"/>
      <c r="D313" s="146"/>
      <c r="E313" s="146"/>
      <c r="F313" s="146"/>
      <c r="G313" s="146"/>
      <c r="H313" s="146"/>
      <c r="I313" s="146"/>
      <c r="J313" s="146"/>
      <c r="K313" s="146"/>
      <c r="L313" s="146"/>
      <c r="M313" s="146"/>
      <c r="N313" s="146"/>
      <c r="O313" s="146"/>
      <c r="P313" s="146"/>
      <c r="Q313" s="146"/>
      <c r="R313" s="146"/>
      <c r="S313" s="146"/>
      <c r="T313" s="146"/>
      <c r="U313" s="146"/>
      <c r="V313" s="146"/>
      <c r="W313" s="146"/>
      <c r="X313" s="146"/>
      <c r="Y313" s="146"/>
      <c r="Z313" s="146"/>
    </row>
    <row r="314" spans="1:26" ht="15.75" customHeight="1" x14ac:dyDescent="0.25">
      <c r="A314" s="146"/>
      <c r="B314" s="146"/>
      <c r="C314" s="146"/>
      <c r="D314" s="146"/>
      <c r="E314" s="146"/>
      <c r="F314" s="146"/>
      <c r="G314" s="146"/>
      <c r="H314" s="146"/>
      <c r="I314" s="146"/>
      <c r="J314" s="146"/>
      <c r="K314" s="146"/>
      <c r="L314" s="146"/>
      <c r="M314" s="146"/>
      <c r="N314" s="146"/>
      <c r="O314" s="146"/>
      <c r="P314" s="146"/>
      <c r="Q314" s="146"/>
      <c r="R314" s="146"/>
      <c r="S314" s="146"/>
      <c r="T314" s="146"/>
      <c r="U314" s="146"/>
      <c r="V314" s="146"/>
      <c r="W314" s="146"/>
      <c r="X314" s="146"/>
      <c r="Y314" s="146"/>
      <c r="Z314" s="146"/>
    </row>
    <row r="315" spans="1:26" ht="15.75" customHeight="1" x14ac:dyDescent="0.25">
      <c r="A315" s="146"/>
      <c r="B315" s="146"/>
      <c r="C315" s="146"/>
      <c r="D315" s="146"/>
      <c r="E315" s="146"/>
      <c r="F315" s="146"/>
      <c r="G315" s="146"/>
      <c r="H315" s="146"/>
      <c r="I315" s="146"/>
      <c r="J315" s="146"/>
      <c r="K315" s="146"/>
      <c r="L315" s="146"/>
      <c r="M315" s="146"/>
      <c r="N315" s="146"/>
      <c r="O315" s="146"/>
      <c r="P315" s="146"/>
      <c r="Q315" s="146"/>
      <c r="R315" s="146"/>
      <c r="S315" s="146"/>
      <c r="T315" s="146"/>
      <c r="U315" s="146"/>
      <c r="V315" s="146"/>
      <c r="W315" s="146"/>
      <c r="X315" s="146"/>
      <c r="Y315" s="146"/>
      <c r="Z315" s="146"/>
    </row>
    <row r="316" spans="1:26" ht="15.75" customHeight="1" x14ac:dyDescent="0.25">
      <c r="A316" s="146"/>
      <c r="B316" s="146"/>
      <c r="C316" s="146"/>
      <c r="D316" s="146"/>
      <c r="E316" s="146"/>
      <c r="F316" s="146"/>
      <c r="G316" s="146"/>
      <c r="H316" s="146"/>
      <c r="I316" s="146"/>
      <c r="J316" s="146"/>
      <c r="K316" s="146"/>
      <c r="L316" s="146"/>
      <c r="M316" s="146"/>
      <c r="N316" s="146"/>
      <c r="O316" s="146"/>
      <c r="P316" s="146"/>
      <c r="Q316" s="146"/>
      <c r="R316" s="146"/>
      <c r="S316" s="146"/>
      <c r="T316" s="146"/>
      <c r="U316" s="146"/>
      <c r="V316" s="146"/>
      <c r="W316" s="146"/>
      <c r="X316" s="146"/>
      <c r="Y316" s="146"/>
      <c r="Z316" s="146"/>
    </row>
    <row r="317" spans="1:26" ht="15.75" customHeight="1" x14ac:dyDescent="0.25">
      <c r="A317" s="146"/>
      <c r="B317" s="146"/>
      <c r="C317" s="146"/>
      <c r="D317" s="146"/>
      <c r="E317" s="146"/>
      <c r="F317" s="146"/>
      <c r="G317" s="146"/>
      <c r="H317" s="146"/>
      <c r="I317" s="146"/>
      <c r="J317" s="146"/>
      <c r="K317" s="146"/>
      <c r="L317" s="146"/>
      <c r="M317" s="146"/>
      <c r="N317" s="146"/>
      <c r="O317" s="146"/>
      <c r="P317" s="146"/>
      <c r="Q317" s="146"/>
      <c r="R317" s="146"/>
      <c r="S317" s="146"/>
      <c r="T317" s="146"/>
      <c r="U317" s="146"/>
      <c r="V317" s="146"/>
      <c r="W317" s="146"/>
      <c r="X317" s="146"/>
      <c r="Y317" s="146"/>
      <c r="Z317" s="146"/>
    </row>
    <row r="318" spans="1:26" ht="15.75" customHeight="1" x14ac:dyDescent="0.25">
      <c r="A318" s="146"/>
      <c r="B318" s="146"/>
      <c r="C318" s="146"/>
      <c r="D318" s="146"/>
      <c r="E318" s="146"/>
      <c r="F318" s="146"/>
      <c r="G318" s="146"/>
      <c r="H318" s="146"/>
      <c r="I318" s="146"/>
      <c r="J318" s="146"/>
      <c r="K318" s="146"/>
      <c r="L318" s="146"/>
      <c r="M318" s="146"/>
      <c r="N318" s="146"/>
      <c r="O318" s="146"/>
      <c r="P318" s="146"/>
      <c r="Q318" s="146"/>
      <c r="R318" s="146"/>
      <c r="S318" s="146"/>
      <c r="T318" s="146"/>
      <c r="U318" s="146"/>
      <c r="V318" s="146"/>
      <c r="W318" s="146"/>
      <c r="X318" s="146"/>
      <c r="Y318" s="146"/>
      <c r="Z318" s="146"/>
    </row>
    <row r="319" spans="1:26" ht="15.75" customHeight="1" x14ac:dyDescent="0.25">
      <c r="A319" s="146"/>
      <c r="B319" s="146"/>
      <c r="C319" s="146"/>
      <c r="D319" s="146"/>
      <c r="E319" s="146"/>
      <c r="F319" s="146"/>
      <c r="G319" s="146"/>
      <c r="H319" s="146"/>
      <c r="I319" s="146"/>
      <c r="J319" s="146"/>
      <c r="K319" s="146"/>
      <c r="L319" s="146"/>
      <c r="M319" s="146"/>
      <c r="N319" s="146"/>
      <c r="O319" s="146"/>
      <c r="P319" s="146"/>
      <c r="Q319" s="146"/>
      <c r="R319" s="146"/>
      <c r="S319" s="146"/>
      <c r="T319" s="146"/>
      <c r="U319" s="146"/>
      <c r="V319" s="146"/>
      <c r="W319" s="146"/>
      <c r="X319" s="146"/>
      <c r="Y319" s="146"/>
      <c r="Z319" s="146"/>
    </row>
    <row r="320" spans="1:26" ht="15.75" customHeight="1" x14ac:dyDescent="0.25">
      <c r="A320" s="146"/>
      <c r="B320" s="146"/>
      <c r="C320" s="146"/>
      <c r="D320" s="146"/>
      <c r="E320" s="146"/>
      <c r="F320" s="146"/>
      <c r="G320" s="146"/>
      <c r="H320" s="146"/>
      <c r="I320" s="146"/>
      <c r="J320" s="146"/>
      <c r="K320" s="146"/>
      <c r="L320" s="146"/>
      <c r="M320" s="146"/>
      <c r="N320" s="146"/>
      <c r="O320" s="146"/>
      <c r="P320" s="146"/>
      <c r="Q320" s="146"/>
      <c r="R320" s="146"/>
      <c r="S320" s="146"/>
      <c r="T320" s="146"/>
      <c r="U320" s="146"/>
      <c r="V320" s="146"/>
      <c r="W320" s="146"/>
      <c r="X320" s="146"/>
      <c r="Y320" s="146"/>
      <c r="Z320" s="146"/>
    </row>
    <row r="321" spans="1:26" ht="15.75" customHeight="1" x14ac:dyDescent="0.25">
      <c r="A321" s="146"/>
      <c r="B321" s="146"/>
      <c r="C321" s="146"/>
      <c r="D321" s="146"/>
      <c r="E321" s="146"/>
      <c r="F321" s="146"/>
      <c r="G321" s="146"/>
      <c r="H321" s="146"/>
      <c r="I321" s="146"/>
      <c r="J321" s="146"/>
      <c r="K321" s="146"/>
      <c r="L321" s="146"/>
      <c r="M321" s="146"/>
      <c r="N321" s="146"/>
      <c r="O321" s="146"/>
      <c r="P321" s="146"/>
      <c r="Q321" s="146"/>
      <c r="R321" s="146"/>
      <c r="S321" s="146"/>
      <c r="T321" s="146"/>
      <c r="U321" s="146"/>
      <c r="V321" s="146"/>
      <c r="W321" s="146"/>
      <c r="X321" s="146"/>
      <c r="Y321" s="146"/>
      <c r="Z321" s="146"/>
    </row>
    <row r="322" spans="1:26" ht="15.75" customHeight="1" x14ac:dyDescent="0.25">
      <c r="A322" s="146"/>
      <c r="B322" s="146"/>
      <c r="C322" s="146"/>
      <c r="D322" s="146"/>
      <c r="E322" s="146"/>
      <c r="F322" s="146"/>
      <c r="G322" s="146"/>
      <c r="H322" s="146"/>
      <c r="I322" s="146"/>
      <c r="J322" s="146"/>
      <c r="K322" s="146"/>
      <c r="L322" s="146"/>
      <c r="M322" s="146"/>
      <c r="N322" s="146"/>
      <c r="O322" s="146"/>
      <c r="P322" s="146"/>
      <c r="Q322" s="146"/>
      <c r="R322" s="146"/>
      <c r="S322" s="146"/>
      <c r="T322" s="146"/>
      <c r="U322" s="146"/>
      <c r="V322" s="146"/>
      <c r="W322" s="146"/>
      <c r="X322" s="146"/>
      <c r="Y322" s="146"/>
      <c r="Z322" s="146"/>
    </row>
    <row r="323" spans="1:26" ht="15.75" customHeight="1" x14ac:dyDescent="0.25">
      <c r="A323" s="146"/>
      <c r="B323" s="146"/>
      <c r="C323" s="146"/>
      <c r="D323" s="146"/>
      <c r="E323" s="146"/>
      <c r="F323" s="146"/>
      <c r="G323" s="146"/>
      <c r="H323" s="146"/>
      <c r="I323" s="146"/>
      <c r="J323" s="146"/>
      <c r="K323" s="146"/>
      <c r="L323" s="146"/>
      <c r="M323" s="146"/>
      <c r="N323" s="146"/>
      <c r="O323" s="146"/>
      <c r="P323" s="146"/>
      <c r="Q323" s="146"/>
      <c r="R323" s="146"/>
      <c r="S323" s="146"/>
      <c r="T323" s="146"/>
      <c r="U323" s="146"/>
      <c r="V323" s="146"/>
      <c r="W323" s="146"/>
      <c r="X323" s="146"/>
      <c r="Y323" s="146"/>
      <c r="Z323" s="146"/>
    </row>
    <row r="324" spans="1:26" ht="15.75" customHeight="1" x14ac:dyDescent="0.25">
      <c r="A324" s="146"/>
      <c r="B324" s="146"/>
      <c r="C324" s="146"/>
      <c r="D324" s="146"/>
      <c r="E324" s="146"/>
      <c r="F324" s="146"/>
      <c r="G324" s="146"/>
      <c r="H324" s="146"/>
      <c r="I324" s="146"/>
      <c r="J324" s="146"/>
      <c r="K324" s="146"/>
      <c r="L324" s="146"/>
      <c r="M324" s="146"/>
      <c r="N324" s="146"/>
      <c r="O324" s="146"/>
      <c r="P324" s="146"/>
      <c r="Q324" s="146"/>
      <c r="R324" s="146"/>
      <c r="S324" s="146"/>
      <c r="T324" s="146"/>
      <c r="U324" s="146"/>
      <c r="V324" s="146"/>
      <c r="W324" s="146"/>
      <c r="X324" s="146"/>
      <c r="Y324" s="146"/>
      <c r="Z324" s="146"/>
    </row>
    <row r="325" spans="1:26" ht="15.75" customHeight="1" x14ac:dyDescent="0.25">
      <c r="A325" s="146"/>
      <c r="B325" s="146"/>
      <c r="C325" s="146"/>
      <c r="D325" s="146"/>
      <c r="E325" s="146"/>
      <c r="F325" s="146"/>
      <c r="G325" s="146"/>
      <c r="H325" s="146"/>
      <c r="I325" s="146"/>
      <c r="J325" s="146"/>
      <c r="K325" s="146"/>
      <c r="L325" s="146"/>
      <c r="M325" s="146"/>
      <c r="N325" s="146"/>
      <c r="O325" s="146"/>
      <c r="P325" s="146"/>
      <c r="Q325" s="146"/>
      <c r="R325" s="146"/>
      <c r="S325" s="146"/>
      <c r="T325" s="146"/>
      <c r="U325" s="146"/>
      <c r="V325" s="146"/>
      <c r="W325" s="146"/>
      <c r="X325" s="146"/>
      <c r="Y325" s="146"/>
      <c r="Z325" s="146"/>
    </row>
    <row r="326" spans="1:26" ht="15.75" customHeight="1" x14ac:dyDescent="0.25">
      <c r="A326" s="146"/>
      <c r="B326" s="146"/>
      <c r="C326" s="146"/>
      <c r="D326" s="146"/>
      <c r="E326" s="146"/>
      <c r="F326" s="146"/>
      <c r="G326" s="146"/>
      <c r="H326" s="146"/>
      <c r="I326" s="146"/>
      <c r="J326" s="146"/>
      <c r="K326" s="146"/>
      <c r="L326" s="146"/>
      <c r="M326" s="146"/>
      <c r="N326" s="146"/>
      <c r="O326" s="146"/>
      <c r="P326" s="146"/>
      <c r="Q326" s="146"/>
      <c r="R326" s="146"/>
      <c r="S326" s="146"/>
      <c r="T326" s="146"/>
      <c r="U326" s="146"/>
      <c r="V326" s="146"/>
      <c r="W326" s="146"/>
      <c r="X326" s="146"/>
      <c r="Y326" s="146"/>
      <c r="Z326" s="146"/>
    </row>
    <row r="327" spans="1:26" ht="15.75" customHeight="1" x14ac:dyDescent="0.25">
      <c r="A327" s="146"/>
      <c r="B327" s="146"/>
      <c r="C327" s="146"/>
      <c r="D327" s="146"/>
      <c r="E327" s="146"/>
      <c r="F327" s="146"/>
      <c r="G327" s="146"/>
      <c r="H327" s="146"/>
      <c r="I327" s="146"/>
      <c r="J327" s="146"/>
      <c r="K327" s="146"/>
      <c r="L327" s="146"/>
      <c r="M327" s="146"/>
      <c r="N327" s="146"/>
      <c r="O327" s="146"/>
      <c r="P327" s="146"/>
      <c r="Q327" s="146"/>
      <c r="R327" s="146"/>
      <c r="S327" s="146"/>
      <c r="T327" s="146"/>
      <c r="U327" s="146"/>
      <c r="V327" s="146"/>
      <c r="W327" s="146"/>
      <c r="X327" s="146"/>
      <c r="Y327" s="146"/>
      <c r="Z327" s="146"/>
    </row>
    <row r="328" spans="1:26" ht="15.75" customHeight="1" x14ac:dyDescent="0.25">
      <c r="A328" s="146"/>
      <c r="B328" s="146"/>
      <c r="C328" s="146"/>
      <c r="D328" s="146"/>
      <c r="E328" s="146"/>
      <c r="F328" s="146"/>
      <c r="G328" s="146"/>
      <c r="H328" s="146"/>
      <c r="I328" s="146"/>
      <c r="J328" s="146"/>
      <c r="K328" s="146"/>
      <c r="L328" s="146"/>
      <c r="M328" s="146"/>
      <c r="N328" s="146"/>
      <c r="O328" s="146"/>
      <c r="P328" s="146"/>
      <c r="Q328" s="146"/>
      <c r="R328" s="146"/>
      <c r="S328" s="146"/>
      <c r="T328" s="146"/>
      <c r="U328" s="146"/>
      <c r="V328" s="146"/>
      <c r="W328" s="146"/>
      <c r="X328" s="146"/>
      <c r="Y328" s="146"/>
      <c r="Z328" s="146"/>
    </row>
    <row r="329" spans="1:26" ht="15.75" customHeight="1" x14ac:dyDescent="0.25">
      <c r="A329" s="146"/>
      <c r="B329" s="146"/>
      <c r="C329" s="146"/>
      <c r="D329" s="146"/>
      <c r="E329" s="146"/>
      <c r="F329" s="146"/>
      <c r="G329" s="146"/>
      <c r="H329" s="146"/>
      <c r="I329" s="146"/>
      <c r="J329" s="146"/>
      <c r="K329" s="146"/>
      <c r="L329" s="146"/>
      <c r="M329" s="146"/>
      <c r="N329" s="146"/>
      <c r="O329" s="146"/>
      <c r="P329" s="146"/>
      <c r="Q329" s="146"/>
      <c r="R329" s="146"/>
      <c r="S329" s="146"/>
      <c r="T329" s="146"/>
      <c r="U329" s="146"/>
      <c r="V329" s="146"/>
      <c r="W329" s="146"/>
      <c r="X329" s="146"/>
      <c r="Y329" s="146"/>
      <c r="Z329" s="146"/>
    </row>
    <row r="330" spans="1:26" ht="15.75" customHeight="1" x14ac:dyDescent="0.25">
      <c r="A330" s="146"/>
      <c r="B330" s="146"/>
      <c r="C330" s="146"/>
      <c r="D330" s="146"/>
      <c r="E330" s="146"/>
      <c r="F330" s="146"/>
      <c r="G330" s="146"/>
      <c r="H330" s="146"/>
      <c r="I330" s="146"/>
      <c r="J330" s="146"/>
      <c r="K330" s="146"/>
      <c r="L330" s="146"/>
      <c r="M330" s="146"/>
      <c r="N330" s="146"/>
      <c r="O330" s="146"/>
      <c r="P330" s="146"/>
      <c r="Q330" s="146"/>
      <c r="R330" s="146"/>
      <c r="S330" s="146"/>
      <c r="T330" s="146"/>
      <c r="U330" s="146"/>
      <c r="V330" s="146"/>
      <c r="W330" s="146"/>
      <c r="X330" s="146"/>
      <c r="Y330" s="146"/>
      <c r="Z330" s="146"/>
    </row>
    <row r="331" spans="1:26" ht="15.75" customHeight="1" x14ac:dyDescent="0.25">
      <c r="A331" s="146"/>
      <c r="B331" s="146"/>
      <c r="C331" s="146"/>
      <c r="D331" s="146"/>
      <c r="E331" s="146"/>
      <c r="F331" s="146"/>
      <c r="G331" s="146"/>
      <c r="H331" s="146"/>
      <c r="I331" s="146"/>
      <c r="J331" s="146"/>
      <c r="K331" s="146"/>
      <c r="L331" s="146"/>
      <c r="M331" s="146"/>
      <c r="N331" s="146"/>
      <c r="O331" s="146"/>
      <c r="P331" s="146"/>
      <c r="Q331" s="146"/>
      <c r="R331" s="146"/>
      <c r="S331" s="146"/>
      <c r="T331" s="146"/>
      <c r="U331" s="146"/>
      <c r="V331" s="146"/>
      <c r="W331" s="146"/>
      <c r="X331" s="146"/>
      <c r="Y331" s="146"/>
      <c r="Z331" s="146"/>
    </row>
    <row r="332" spans="1:26" ht="15.75" customHeight="1" x14ac:dyDescent="0.25">
      <c r="A332" s="146"/>
      <c r="B332" s="146"/>
      <c r="C332" s="146"/>
      <c r="D332" s="146"/>
      <c r="E332" s="146"/>
      <c r="F332" s="146"/>
      <c r="G332" s="146"/>
      <c r="H332" s="146"/>
      <c r="I332" s="146"/>
      <c r="J332" s="146"/>
      <c r="K332" s="146"/>
      <c r="L332" s="146"/>
      <c r="M332" s="146"/>
      <c r="N332" s="146"/>
      <c r="O332" s="146"/>
      <c r="P332" s="146"/>
      <c r="Q332" s="146"/>
      <c r="R332" s="146"/>
      <c r="S332" s="146"/>
      <c r="T332" s="146"/>
      <c r="U332" s="146"/>
      <c r="V332" s="146"/>
      <c r="W332" s="146"/>
      <c r="X332" s="146"/>
      <c r="Y332" s="146"/>
      <c r="Z332" s="146"/>
    </row>
    <row r="333" spans="1:26" ht="15.75" customHeight="1" x14ac:dyDescent="0.25">
      <c r="A333" s="146"/>
      <c r="B333" s="146"/>
      <c r="C333" s="146"/>
      <c r="D333" s="146"/>
      <c r="E333" s="146"/>
      <c r="F333" s="146"/>
      <c r="G333" s="146"/>
      <c r="H333" s="146"/>
      <c r="I333" s="146"/>
      <c r="J333" s="146"/>
      <c r="K333" s="146"/>
      <c r="L333" s="146"/>
      <c r="M333" s="146"/>
      <c r="N333" s="146"/>
      <c r="O333" s="146"/>
      <c r="P333" s="146"/>
      <c r="Q333" s="146"/>
      <c r="R333" s="146"/>
      <c r="S333" s="146"/>
      <c r="T333" s="146"/>
      <c r="U333" s="146"/>
      <c r="V333" s="146"/>
      <c r="W333" s="146"/>
      <c r="X333" s="146"/>
      <c r="Y333" s="146"/>
      <c r="Z333" s="146"/>
    </row>
    <row r="334" spans="1:26" ht="15.75" customHeight="1" x14ac:dyDescent="0.25">
      <c r="A334" s="146"/>
      <c r="B334" s="146"/>
      <c r="C334" s="146"/>
      <c r="D334" s="146"/>
      <c r="E334" s="146"/>
      <c r="F334" s="146"/>
      <c r="G334" s="146"/>
      <c r="H334" s="146"/>
      <c r="I334" s="146"/>
      <c r="J334" s="146"/>
      <c r="K334" s="146"/>
      <c r="L334" s="146"/>
      <c r="M334" s="146"/>
      <c r="N334" s="146"/>
      <c r="O334" s="146"/>
      <c r="P334" s="146"/>
      <c r="Q334" s="146"/>
      <c r="R334" s="146"/>
      <c r="S334" s="146"/>
      <c r="T334" s="146"/>
      <c r="U334" s="146"/>
      <c r="V334" s="146"/>
      <c r="W334" s="146"/>
      <c r="X334" s="146"/>
      <c r="Y334" s="146"/>
      <c r="Z334" s="146"/>
    </row>
    <row r="335" spans="1:26" ht="15.75" customHeight="1" x14ac:dyDescent="0.25">
      <c r="A335" s="146"/>
      <c r="B335" s="146"/>
      <c r="C335" s="146"/>
      <c r="D335" s="146"/>
      <c r="E335" s="146"/>
      <c r="F335" s="146"/>
      <c r="G335" s="146"/>
      <c r="H335" s="146"/>
      <c r="I335" s="146"/>
      <c r="J335" s="146"/>
      <c r="K335" s="146"/>
      <c r="L335" s="146"/>
      <c r="M335" s="146"/>
      <c r="N335" s="146"/>
      <c r="O335" s="146"/>
      <c r="P335" s="146"/>
      <c r="Q335" s="146"/>
      <c r="R335" s="146"/>
      <c r="S335" s="146"/>
      <c r="T335" s="146"/>
      <c r="U335" s="146"/>
      <c r="V335" s="146"/>
      <c r="W335" s="146"/>
      <c r="X335" s="146"/>
      <c r="Y335" s="146"/>
      <c r="Z335" s="146"/>
    </row>
    <row r="336" spans="1:26" ht="15.75" customHeight="1" x14ac:dyDescent="0.25">
      <c r="A336" s="146"/>
      <c r="B336" s="146"/>
      <c r="C336" s="146"/>
      <c r="D336" s="146"/>
      <c r="E336" s="146"/>
      <c r="F336" s="146"/>
      <c r="G336" s="146"/>
      <c r="H336" s="146"/>
      <c r="I336" s="146"/>
      <c r="J336" s="146"/>
      <c r="K336" s="146"/>
      <c r="L336" s="146"/>
      <c r="M336" s="146"/>
      <c r="N336" s="146"/>
      <c r="O336" s="146"/>
      <c r="P336" s="146"/>
      <c r="Q336" s="146"/>
      <c r="R336" s="146"/>
      <c r="S336" s="146"/>
      <c r="T336" s="146"/>
      <c r="U336" s="146"/>
      <c r="V336" s="146"/>
      <c r="W336" s="146"/>
      <c r="X336" s="146"/>
      <c r="Y336" s="146"/>
      <c r="Z336" s="146"/>
    </row>
    <row r="337" spans="1:26" ht="15.75" customHeight="1" x14ac:dyDescent="0.25">
      <c r="A337" s="146"/>
      <c r="B337" s="146"/>
      <c r="C337" s="146"/>
      <c r="D337" s="146"/>
      <c r="E337" s="146"/>
      <c r="F337" s="146"/>
      <c r="G337" s="146"/>
      <c r="H337" s="146"/>
      <c r="I337" s="146"/>
      <c r="J337" s="146"/>
      <c r="K337" s="146"/>
      <c r="L337" s="146"/>
      <c r="M337" s="146"/>
      <c r="N337" s="146"/>
      <c r="O337" s="146"/>
      <c r="P337" s="146"/>
      <c r="Q337" s="146"/>
      <c r="R337" s="146"/>
      <c r="S337" s="146"/>
      <c r="T337" s="146"/>
      <c r="U337" s="146"/>
      <c r="V337" s="146"/>
      <c r="W337" s="146"/>
      <c r="X337" s="146"/>
      <c r="Y337" s="146"/>
      <c r="Z337" s="146"/>
    </row>
    <row r="338" spans="1:26" ht="15.75" customHeight="1" x14ac:dyDescent="0.25">
      <c r="A338" s="146"/>
      <c r="B338" s="146"/>
      <c r="C338" s="146"/>
      <c r="D338" s="146"/>
      <c r="E338" s="146"/>
      <c r="F338" s="146"/>
      <c r="G338" s="146"/>
      <c r="H338" s="146"/>
      <c r="I338" s="146"/>
      <c r="J338" s="146"/>
      <c r="K338" s="146"/>
      <c r="L338" s="146"/>
      <c r="M338" s="146"/>
      <c r="N338" s="146"/>
      <c r="O338" s="146"/>
      <c r="P338" s="146"/>
      <c r="Q338" s="146"/>
      <c r="R338" s="146"/>
      <c r="S338" s="146"/>
      <c r="T338" s="146"/>
      <c r="U338" s="146"/>
      <c r="V338" s="146"/>
      <c r="W338" s="146"/>
      <c r="X338" s="146"/>
      <c r="Y338" s="146"/>
      <c r="Z338" s="146"/>
    </row>
    <row r="339" spans="1:26" ht="15.75" customHeight="1" x14ac:dyDescent="0.25">
      <c r="A339" s="146"/>
      <c r="B339" s="146"/>
      <c r="C339" s="146"/>
      <c r="D339" s="146"/>
      <c r="E339" s="146"/>
      <c r="F339" s="146"/>
      <c r="G339" s="146"/>
      <c r="H339" s="146"/>
      <c r="I339" s="146"/>
      <c r="J339" s="146"/>
      <c r="K339" s="146"/>
      <c r="L339" s="146"/>
      <c r="M339" s="146"/>
      <c r="N339" s="146"/>
      <c r="O339" s="146"/>
      <c r="P339" s="146"/>
      <c r="Q339" s="146"/>
      <c r="R339" s="146"/>
      <c r="S339" s="146"/>
      <c r="T339" s="146"/>
      <c r="U339" s="146"/>
      <c r="V339" s="146"/>
      <c r="W339" s="146"/>
      <c r="X339" s="146"/>
      <c r="Y339" s="146"/>
      <c r="Z339" s="146"/>
    </row>
    <row r="340" spans="1:26" ht="15.75" customHeight="1" x14ac:dyDescent="0.25">
      <c r="A340" s="146"/>
      <c r="B340" s="146"/>
      <c r="C340" s="146"/>
      <c r="D340" s="146"/>
      <c r="E340" s="146"/>
      <c r="F340" s="146"/>
      <c r="G340" s="146"/>
      <c r="H340" s="146"/>
      <c r="I340" s="146"/>
      <c r="J340" s="146"/>
      <c r="K340" s="146"/>
      <c r="L340" s="146"/>
      <c r="M340" s="146"/>
      <c r="N340" s="146"/>
      <c r="O340" s="146"/>
      <c r="P340" s="146"/>
      <c r="Q340" s="146"/>
      <c r="R340" s="146"/>
      <c r="S340" s="146"/>
      <c r="T340" s="146"/>
      <c r="U340" s="146"/>
      <c r="V340" s="146"/>
      <c r="W340" s="146"/>
      <c r="X340" s="146"/>
      <c r="Y340" s="146"/>
      <c r="Z340" s="146"/>
    </row>
    <row r="341" spans="1:26" ht="15.75" customHeight="1" x14ac:dyDescent="0.25">
      <c r="A341" s="146"/>
      <c r="B341" s="146"/>
      <c r="C341" s="146"/>
      <c r="D341" s="146"/>
      <c r="E341" s="146"/>
      <c r="F341" s="146"/>
      <c r="G341" s="146"/>
      <c r="H341" s="146"/>
      <c r="I341" s="146"/>
      <c r="J341" s="146"/>
      <c r="K341" s="146"/>
      <c r="L341" s="146"/>
      <c r="M341" s="146"/>
      <c r="N341" s="146"/>
      <c r="O341" s="146"/>
      <c r="P341" s="146"/>
      <c r="Q341" s="146"/>
      <c r="R341" s="146"/>
      <c r="S341" s="146"/>
      <c r="T341" s="146"/>
      <c r="U341" s="146"/>
      <c r="V341" s="146"/>
      <c r="W341" s="146"/>
      <c r="X341" s="146"/>
      <c r="Y341" s="146"/>
      <c r="Z341" s="146"/>
    </row>
    <row r="342" spans="1:26" ht="15.75" customHeight="1" x14ac:dyDescent="0.25">
      <c r="A342" s="146"/>
      <c r="B342" s="146"/>
      <c r="C342" s="146"/>
      <c r="D342" s="146"/>
      <c r="E342" s="146"/>
      <c r="F342" s="146"/>
      <c r="G342" s="146"/>
      <c r="H342" s="146"/>
      <c r="I342" s="146"/>
      <c r="J342" s="146"/>
      <c r="K342" s="146"/>
      <c r="L342" s="146"/>
      <c r="M342" s="146"/>
      <c r="N342" s="146"/>
      <c r="O342" s="146"/>
      <c r="P342" s="146"/>
      <c r="Q342" s="146"/>
      <c r="R342" s="146"/>
      <c r="S342" s="146"/>
      <c r="T342" s="146"/>
      <c r="U342" s="146"/>
      <c r="V342" s="146"/>
      <c r="W342" s="146"/>
      <c r="X342" s="146"/>
      <c r="Y342" s="146"/>
      <c r="Z342" s="146"/>
    </row>
    <row r="343" spans="1:26" ht="15.75" customHeight="1" x14ac:dyDescent="0.25">
      <c r="A343" s="146"/>
      <c r="B343" s="146"/>
      <c r="C343" s="146"/>
      <c r="D343" s="146"/>
      <c r="E343" s="146"/>
      <c r="F343" s="146"/>
      <c r="G343" s="146"/>
      <c r="H343" s="146"/>
      <c r="I343" s="146"/>
      <c r="J343" s="146"/>
      <c r="K343" s="146"/>
      <c r="L343" s="146"/>
      <c r="M343" s="146"/>
      <c r="N343" s="146"/>
      <c r="O343" s="146"/>
      <c r="P343" s="146"/>
      <c r="Q343" s="146"/>
      <c r="R343" s="146"/>
      <c r="S343" s="146"/>
      <c r="T343" s="146"/>
      <c r="U343" s="146"/>
      <c r="V343" s="146"/>
      <c r="W343" s="146"/>
      <c r="X343" s="146"/>
      <c r="Y343" s="146"/>
      <c r="Z343" s="146"/>
    </row>
    <row r="344" spans="1:26" ht="15.75" customHeight="1" x14ac:dyDescent="0.25">
      <c r="A344" s="146"/>
      <c r="B344" s="146"/>
      <c r="C344" s="146"/>
      <c r="D344" s="146"/>
      <c r="E344" s="146"/>
      <c r="F344" s="146"/>
      <c r="G344" s="146"/>
      <c r="H344" s="146"/>
      <c r="I344" s="146"/>
      <c r="J344" s="146"/>
      <c r="K344" s="146"/>
      <c r="L344" s="146"/>
      <c r="M344" s="146"/>
      <c r="N344" s="146"/>
      <c r="O344" s="146"/>
      <c r="P344" s="146"/>
      <c r="Q344" s="146"/>
      <c r="R344" s="146"/>
      <c r="S344" s="146"/>
      <c r="T344" s="146"/>
      <c r="U344" s="146"/>
      <c r="V344" s="146"/>
      <c r="W344" s="146"/>
      <c r="X344" s="146"/>
      <c r="Y344" s="146"/>
      <c r="Z344" s="146"/>
    </row>
    <row r="345" spans="1:26" ht="15.75" customHeight="1" x14ac:dyDescent="0.25">
      <c r="A345" s="146"/>
      <c r="B345" s="146"/>
      <c r="C345" s="146"/>
      <c r="D345" s="146"/>
      <c r="E345" s="146"/>
      <c r="F345" s="146"/>
      <c r="G345" s="146"/>
      <c r="H345" s="146"/>
      <c r="I345" s="146"/>
      <c r="J345" s="146"/>
      <c r="K345" s="146"/>
      <c r="L345" s="146"/>
      <c r="M345" s="146"/>
      <c r="N345" s="146"/>
      <c r="O345" s="146"/>
      <c r="P345" s="146"/>
      <c r="Q345" s="146"/>
      <c r="R345" s="146"/>
      <c r="S345" s="146"/>
      <c r="T345" s="146"/>
      <c r="U345" s="146"/>
      <c r="V345" s="146"/>
      <c r="W345" s="146"/>
      <c r="X345" s="146"/>
      <c r="Y345" s="146"/>
      <c r="Z345" s="146"/>
    </row>
    <row r="346" spans="1:26" ht="15.75" customHeight="1" x14ac:dyDescent="0.25">
      <c r="A346" s="146"/>
      <c r="B346" s="146"/>
      <c r="C346" s="146"/>
      <c r="D346" s="146"/>
      <c r="E346" s="146"/>
      <c r="F346" s="146"/>
      <c r="G346" s="146"/>
      <c r="H346" s="146"/>
      <c r="I346" s="146"/>
      <c r="J346" s="146"/>
      <c r="K346" s="146"/>
      <c r="L346" s="146"/>
      <c r="M346" s="146"/>
      <c r="N346" s="146"/>
      <c r="O346" s="146"/>
      <c r="P346" s="146"/>
      <c r="Q346" s="146"/>
      <c r="R346" s="146"/>
      <c r="S346" s="146"/>
      <c r="T346" s="146"/>
      <c r="U346" s="146"/>
      <c r="V346" s="146"/>
      <c r="W346" s="146"/>
      <c r="X346" s="146"/>
      <c r="Y346" s="146"/>
      <c r="Z346" s="146"/>
    </row>
    <row r="347" spans="1:26" ht="15.75" customHeight="1" x14ac:dyDescent="0.25">
      <c r="A347" s="146"/>
      <c r="B347" s="146"/>
      <c r="C347" s="146"/>
      <c r="D347" s="146"/>
      <c r="E347" s="146"/>
      <c r="F347" s="146"/>
      <c r="G347" s="146"/>
      <c r="H347" s="146"/>
      <c r="I347" s="146"/>
      <c r="J347" s="146"/>
      <c r="K347" s="146"/>
      <c r="L347" s="146"/>
      <c r="M347" s="146"/>
      <c r="N347" s="146"/>
      <c r="O347" s="146"/>
      <c r="P347" s="146"/>
      <c r="Q347" s="146"/>
      <c r="R347" s="146"/>
      <c r="S347" s="146"/>
      <c r="T347" s="146"/>
      <c r="U347" s="146"/>
      <c r="V347" s="146"/>
      <c r="W347" s="146"/>
      <c r="X347" s="146"/>
      <c r="Y347" s="146"/>
      <c r="Z347" s="146"/>
    </row>
    <row r="348" spans="1:26" ht="15.75" customHeight="1" x14ac:dyDescent="0.25">
      <c r="A348" s="146"/>
      <c r="B348" s="146"/>
      <c r="C348" s="146"/>
      <c r="D348" s="146"/>
      <c r="E348" s="146"/>
      <c r="F348" s="146"/>
      <c r="G348" s="146"/>
      <c r="H348" s="146"/>
      <c r="I348" s="146"/>
      <c r="J348" s="146"/>
      <c r="K348" s="146"/>
      <c r="L348" s="146"/>
      <c r="M348" s="146"/>
      <c r="N348" s="146"/>
      <c r="O348" s="146"/>
      <c r="P348" s="146"/>
      <c r="Q348" s="146"/>
      <c r="R348" s="146"/>
      <c r="S348" s="146"/>
      <c r="T348" s="146"/>
      <c r="U348" s="146"/>
      <c r="V348" s="146"/>
      <c r="W348" s="146"/>
      <c r="X348" s="146"/>
      <c r="Y348" s="146"/>
      <c r="Z348" s="146"/>
    </row>
    <row r="349" spans="1:26" ht="15.75" customHeight="1" x14ac:dyDescent="0.25">
      <c r="A349" s="146"/>
      <c r="B349" s="146"/>
      <c r="C349" s="146"/>
      <c r="D349" s="146"/>
      <c r="E349" s="146"/>
      <c r="F349" s="146"/>
      <c r="G349" s="146"/>
      <c r="H349" s="146"/>
      <c r="I349" s="146"/>
      <c r="J349" s="146"/>
      <c r="K349" s="146"/>
      <c r="L349" s="146"/>
      <c r="M349" s="146"/>
      <c r="N349" s="146"/>
      <c r="O349" s="146"/>
      <c r="P349" s="146"/>
      <c r="Q349" s="146"/>
      <c r="R349" s="146"/>
      <c r="S349" s="146"/>
      <c r="T349" s="146"/>
      <c r="U349" s="146"/>
      <c r="V349" s="146"/>
      <c r="W349" s="146"/>
      <c r="X349" s="146"/>
      <c r="Y349" s="146"/>
      <c r="Z349" s="146"/>
    </row>
    <row r="350" spans="1:26" ht="15.75" customHeight="1" x14ac:dyDescent="0.25">
      <c r="A350" s="146"/>
      <c r="B350" s="146"/>
      <c r="C350" s="146"/>
      <c r="D350" s="146"/>
      <c r="E350" s="146"/>
      <c r="F350" s="146"/>
      <c r="G350" s="146"/>
      <c r="H350" s="146"/>
      <c r="I350" s="146"/>
      <c r="J350" s="146"/>
      <c r="K350" s="146"/>
      <c r="L350" s="146"/>
      <c r="M350" s="146"/>
      <c r="N350" s="146"/>
      <c r="O350" s="146"/>
      <c r="P350" s="146"/>
      <c r="Q350" s="146"/>
      <c r="R350" s="146"/>
      <c r="S350" s="146"/>
      <c r="T350" s="146"/>
      <c r="U350" s="146"/>
      <c r="V350" s="146"/>
      <c r="W350" s="146"/>
      <c r="X350" s="146"/>
      <c r="Y350" s="146"/>
      <c r="Z350" s="146"/>
    </row>
    <row r="351" spans="1:26" ht="15.75" customHeight="1" x14ac:dyDescent="0.25">
      <c r="A351" s="146"/>
      <c r="B351" s="146"/>
      <c r="C351" s="146"/>
      <c r="D351" s="146"/>
      <c r="E351" s="146"/>
      <c r="F351" s="146"/>
      <c r="G351" s="146"/>
      <c r="H351" s="146"/>
      <c r="I351" s="146"/>
      <c r="J351" s="146"/>
      <c r="K351" s="146"/>
      <c r="L351" s="146"/>
      <c r="M351" s="146"/>
      <c r="N351" s="146"/>
      <c r="O351" s="146"/>
      <c r="P351" s="146"/>
      <c r="Q351" s="146"/>
      <c r="R351" s="146"/>
      <c r="S351" s="146"/>
      <c r="T351" s="146"/>
      <c r="U351" s="146"/>
      <c r="V351" s="146"/>
      <c r="W351" s="146"/>
      <c r="X351" s="146"/>
      <c r="Y351" s="146"/>
      <c r="Z351" s="146"/>
    </row>
    <row r="352" spans="1:26" ht="15.75" customHeight="1" x14ac:dyDescent="0.25">
      <c r="A352" s="146"/>
      <c r="B352" s="146"/>
      <c r="C352" s="146"/>
      <c r="D352" s="146"/>
      <c r="E352" s="146"/>
      <c r="F352" s="146"/>
      <c r="G352" s="146"/>
      <c r="H352" s="146"/>
      <c r="I352" s="146"/>
      <c r="J352" s="146"/>
      <c r="K352" s="146"/>
      <c r="L352" s="146"/>
      <c r="M352" s="146"/>
      <c r="N352" s="146"/>
      <c r="O352" s="146"/>
      <c r="P352" s="146"/>
      <c r="Q352" s="146"/>
      <c r="R352" s="146"/>
      <c r="S352" s="146"/>
      <c r="T352" s="146"/>
      <c r="U352" s="146"/>
      <c r="V352" s="146"/>
      <c r="W352" s="146"/>
      <c r="X352" s="146"/>
      <c r="Y352" s="146"/>
      <c r="Z352" s="146"/>
    </row>
    <row r="353" spans="1:26" ht="15.75" customHeight="1" x14ac:dyDescent="0.25">
      <c r="A353" s="146"/>
      <c r="B353" s="146"/>
      <c r="C353" s="146"/>
      <c r="D353" s="146"/>
      <c r="E353" s="146"/>
      <c r="F353" s="146"/>
      <c r="G353" s="146"/>
      <c r="H353" s="146"/>
      <c r="I353" s="146"/>
      <c r="J353" s="146"/>
      <c r="K353" s="146"/>
      <c r="L353" s="146"/>
      <c r="M353" s="146"/>
      <c r="N353" s="146"/>
      <c r="O353" s="146"/>
      <c r="P353" s="146"/>
      <c r="Q353" s="146"/>
      <c r="R353" s="146"/>
      <c r="S353" s="146"/>
      <c r="T353" s="146"/>
      <c r="U353" s="146"/>
      <c r="V353" s="146"/>
      <c r="W353" s="146"/>
      <c r="X353" s="146"/>
      <c r="Y353" s="146"/>
      <c r="Z353" s="146"/>
    </row>
    <row r="354" spans="1:26" ht="15.75" customHeight="1" x14ac:dyDescent="0.25">
      <c r="A354" s="146"/>
      <c r="B354" s="146"/>
      <c r="C354" s="146"/>
      <c r="D354" s="146"/>
      <c r="E354" s="146"/>
      <c r="F354" s="146"/>
      <c r="G354" s="146"/>
      <c r="H354" s="146"/>
      <c r="I354" s="146"/>
      <c r="J354" s="146"/>
      <c r="K354" s="146"/>
      <c r="L354" s="146"/>
      <c r="M354" s="146"/>
      <c r="N354" s="146"/>
      <c r="O354" s="146"/>
      <c r="P354" s="146"/>
      <c r="Q354" s="146"/>
      <c r="R354" s="146"/>
      <c r="S354" s="146"/>
      <c r="T354" s="146"/>
      <c r="U354" s="146"/>
      <c r="V354" s="146"/>
      <c r="W354" s="146"/>
      <c r="X354" s="146"/>
      <c r="Y354" s="146"/>
      <c r="Z354" s="146"/>
    </row>
    <row r="355" spans="1:26" ht="15.75" customHeight="1" x14ac:dyDescent="0.25">
      <c r="A355" s="146"/>
      <c r="B355" s="146"/>
      <c r="C355" s="146"/>
      <c r="D355" s="146"/>
      <c r="E355" s="146"/>
      <c r="F355" s="146"/>
      <c r="G355" s="146"/>
      <c r="H355" s="146"/>
      <c r="I355" s="146"/>
      <c r="J355" s="146"/>
      <c r="K355" s="146"/>
      <c r="L355" s="146"/>
      <c r="M355" s="146"/>
      <c r="N355" s="146"/>
      <c r="O355" s="146"/>
      <c r="P355" s="146"/>
      <c r="Q355" s="146"/>
      <c r="R355" s="146"/>
      <c r="S355" s="146"/>
      <c r="T355" s="146"/>
      <c r="U355" s="146"/>
      <c r="V355" s="146"/>
      <c r="W355" s="146"/>
      <c r="X355" s="146"/>
      <c r="Y355" s="146"/>
      <c r="Z355" s="146"/>
    </row>
    <row r="356" spans="1:26" ht="15.75" customHeight="1" x14ac:dyDescent="0.25">
      <c r="A356" s="146"/>
      <c r="B356" s="146"/>
      <c r="C356" s="146"/>
      <c r="D356" s="146"/>
      <c r="E356" s="146"/>
      <c r="F356" s="146"/>
      <c r="G356" s="146"/>
      <c r="H356" s="146"/>
      <c r="I356" s="146"/>
      <c r="J356" s="146"/>
      <c r="K356" s="146"/>
      <c r="L356" s="146"/>
      <c r="M356" s="146"/>
      <c r="N356" s="146"/>
      <c r="O356" s="146"/>
      <c r="P356" s="146"/>
      <c r="Q356" s="146"/>
      <c r="R356" s="146"/>
      <c r="S356" s="146"/>
      <c r="T356" s="146"/>
      <c r="U356" s="146"/>
      <c r="V356" s="146"/>
      <c r="W356" s="146"/>
      <c r="X356" s="146"/>
      <c r="Y356" s="146"/>
      <c r="Z356" s="146"/>
    </row>
    <row r="357" spans="1:26" ht="15.75" customHeight="1" x14ac:dyDescent="0.25">
      <c r="A357" s="146"/>
      <c r="B357" s="146"/>
      <c r="C357" s="146"/>
      <c r="D357" s="146"/>
      <c r="E357" s="146"/>
      <c r="F357" s="146"/>
      <c r="G357" s="146"/>
      <c r="H357" s="146"/>
      <c r="I357" s="146"/>
      <c r="J357" s="146"/>
      <c r="K357" s="146"/>
      <c r="L357" s="146"/>
      <c r="M357" s="146"/>
      <c r="N357" s="146"/>
      <c r="O357" s="146"/>
      <c r="P357" s="146"/>
      <c r="Q357" s="146"/>
      <c r="R357" s="146"/>
      <c r="S357" s="146"/>
      <c r="T357" s="146"/>
      <c r="U357" s="146"/>
      <c r="V357" s="146"/>
      <c r="W357" s="146"/>
      <c r="X357" s="146"/>
      <c r="Y357" s="146"/>
      <c r="Z357" s="146"/>
    </row>
    <row r="358" spans="1:26" ht="15.75" customHeight="1" x14ac:dyDescent="0.25">
      <c r="A358" s="146"/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146"/>
      <c r="M358" s="146"/>
      <c r="N358" s="146"/>
      <c r="O358" s="146"/>
      <c r="P358" s="146"/>
      <c r="Q358" s="146"/>
      <c r="R358" s="146"/>
      <c r="S358" s="146"/>
      <c r="T358" s="146"/>
      <c r="U358" s="146"/>
      <c r="V358" s="146"/>
      <c r="W358" s="146"/>
      <c r="X358" s="146"/>
      <c r="Y358" s="146"/>
      <c r="Z358" s="146"/>
    </row>
    <row r="359" spans="1:26" ht="15.75" customHeight="1" x14ac:dyDescent="0.25">
      <c r="A359" s="146"/>
      <c r="B359" s="146"/>
      <c r="C359" s="146"/>
      <c r="D359" s="146"/>
      <c r="E359" s="146"/>
      <c r="F359" s="146"/>
      <c r="G359" s="146"/>
      <c r="H359" s="146"/>
      <c r="I359" s="146"/>
      <c r="J359" s="146"/>
      <c r="K359" s="146"/>
      <c r="L359" s="146"/>
      <c r="M359" s="146"/>
      <c r="N359" s="146"/>
      <c r="O359" s="146"/>
      <c r="P359" s="146"/>
      <c r="Q359" s="146"/>
      <c r="R359" s="146"/>
      <c r="S359" s="146"/>
      <c r="T359" s="146"/>
      <c r="U359" s="146"/>
      <c r="V359" s="146"/>
      <c r="W359" s="146"/>
      <c r="X359" s="146"/>
      <c r="Y359" s="146"/>
      <c r="Z359" s="146"/>
    </row>
    <row r="360" spans="1:26" ht="15.75" customHeight="1" x14ac:dyDescent="0.25">
      <c r="A360" s="146"/>
      <c r="B360" s="146"/>
      <c r="C360" s="146"/>
      <c r="D360" s="146"/>
      <c r="E360" s="146"/>
      <c r="F360" s="146"/>
      <c r="G360" s="146"/>
      <c r="H360" s="146"/>
      <c r="I360" s="146"/>
      <c r="J360" s="146"/>
      <c r="K360" s="146"/>
      <c r="L360" s="146"/>
      <c r="M360" s="146"/>
      <c r="N360" s="146"/>
      <c r="O360" s="146"/>
      <c r="P360" s="146"/>
      <c r="Q360" s="146"/>
      <c r="R360" s="146"/>
      <c r="S360" s="146"/>
      <c r="T360" s="146"/>
      <c r="U360" s="146"/>
      <c r="V360" s="146"/>
      <c r="W360" s="146"/>
      <c r="X360" s="146"/>
      <c r="Y360" s="146"/>
      <c r="Z360" s="146"/>
    </row>
    <row r="361" spans="1:26" ht="15.75" customHeight="1" x14ac:dyDescent="0.25">
      <c r="A361" s="146"/>
      <c r="B361" s="146"/>
      <c r="C361" s="146"/>
      <c r="D361" s="146"/>
      <c r="E361" s="146"/>
      <c r="F361" s="146"/>
      <c r="G361" s="146"/>
      <c r="H361" s="146"/>
      <c r="I361" s="146"/>
      <c r="J361" s="146"/>
      <c r="K361" s="146"/>
      <c r="L361" s="146"/>
      <c r="M361" s="146"/>
      <c r="N361" s="146"/>
      <c r="O361" s="146"/>
      <c r="P361" s="146"/>
      <c r="Q361" s="146"/>
      <c r="R361" s="146"/>
      <c r="S361" s="146"/>
      <c r="T361" s="146"/>
      <c r="U361" s="146"/>
      <c r="V361" s="146"/>
      <c r="W361" s="146"/>
      <c r="X361" s="146"/>
      <c r="Y361" s="146"/>
      <c r="Z361" s="146"/>
    </row>
    <row r="362" spans="1:26" ht="15.75" customHeight="1" x14ac:dyDescent="0.25">
      <c r="A362" s="146"/>
      <c r="B362" s="146"/>
      <c r="C362" s="146"/>
      <c r="D362" s="146"/>
      <c r="E362" s="146"/>
      <c r="F362" s="146"/>
      <c r="G362" s="146"/>
      <c r="H362" s="146"/>
      <c r="I362" s="146"/>
      <c r="J362" s="146"/>
      <c r="K362" s="146"/>
      <c r="L362" s="146"/>
      <c r="M362" s="146"/>
      <c r="N362" s="146"/>
      <c r="O362" s="146"/>
      <c r="P362" s="146"/>
      <c r="Q362" s="146"/>
      <c r="R362" s="146"/>
      <c r="S362" s="146"/>
      <c r="T362" s="146"/>
      <c r="U362" s="146"/>
      <c r="V362" s="146"/>
      <c r="W362" s="146"/>
      <c r="X362" s="146"/>
      <c r="Y362" s="146"/>
      <c r="Z362" s="146"/>
    </row>
    <row r="363" spans="1:26" ht="15.75" customHeight="1" x14ac:dyDescent="0.25">
      <c r="A363" s="146"/>
      <c r="B363" s="146"/>
      <c r="C363" s="146"/>
      <c r="D363" s="146"/>
      <c r="E363" s="146"/>
      <c r="F363" s="146"/>
      <c r="G363" s="146"/>
      <c r="H363" s="146"/>
      <c r="I363" s="146"/>
      <c r="J363" s="146"/>
      <c r="K363" s="146"/>
      <c r="L363" s="146"/>
      <c r="M363" s="146"/>
      <c r="N363" s="146"/>
      <c r="O363" s="146"/>
      <c r="P363" s="146"/>
      <c r="Q363" s="146"/>
      <c r="R363" s="146"/>
      <c r="S363" s="146"/>
      <c r="T363" s="146"/>
      <c r="U363" s="146"/>
      <c r="V363" s="146"/>
      <c r="W363" s="146"/>
      <c r="X363" s="146"/>
      <c r="Y363" s="146"/>
      <c r="Z363" s="146"/>
    </row>
    <row r="364" spans="1:26" ht="15.75" customHeight="1" x14ac:dyDescent="0.25">
      <c r="A364" s="146"/>
      <c r="B364" s="146"/>
      <c r="C364" s="146"/>
      <c r="D364" s="146"/>
      <c r="E364" s="146"/>
      <c r="F364" s="146"/>
      <c r="G364" s="146"/>
      <c r="H364" s="146"/>
      <c r="I364" s="146"/>
      <c r="J364" s="146"/>
      <c r="K364" s="146"/>
      <c r="L364" s="146"/>
      <c r="M364" s="146"/>
      <c r="N364" s="146"/>
      <c r="O364" s="146"/>
      <c r="P364" s="146"/>
      <c r="Q364" s="146"/>
      <c r="R364" s="146"/>
      <c r="S364" s="146"/>
      <c r="T364" s="146"/>
      <c r="U364" s="146"/>
      <c r="V364" s="146"/>
      <c r="W364" s="146"/>
      <c r="X364" s="146"/>
      <c r="Y364" s="146"/>
      <c r="Z364" s="146"/>
    </row>
    <row r="365" spans="1:26" ht="15.75" customHeight="1" x14ac:dyDescent="0.25">
      <c r="A365" s="146"/>
      <c r="B365" s="146"/>
      <c r="C365" s="146"/>
      <c r="D365" s="146"/>
      <c r="E365" s="146"/>
      <c r="F365" s="146"/>
      <c r="G365" s="146"/>
      <c r="H365" s="146"/>
      <c r="I365" s="146"/>
      <c r="J365" s="146"/>
      <c r="K365" s="146"/>
      <c r="L365" s="146"/>
      <c r="M365" s="146"/>
      <c r="N365" s="146"/>
      <c r="O365" s="146"/>
      <c r="P365" s="146"/>
      <c r="Q365" s="146"/>
      <c r="R365" s="146"/>
      <c r="S365" s="146"/>
      <c r="T365" s="146"/>
      <c r="U365" s="146"/>
      <c r="V365" s="146"/>
      <c r="W365" s="146"/>
      <c r="X365" s="146"/>
      <c r="Y365" s="146"/>
      <c r="Z365" s="146"/>
    </row>
    <row r="366" spans="1:26" ht="15.75" customHeight="1" x14ac:dyDescent="0.25">
      <c r="A366" s="146"/>
      <c r="B366" s="146"/>
      <c r="C366" s="146"/>
      <c r="D366" s="146"/>
      <c r="E366" s="146"/>
      <c r="F366" s="146"/>
      <c r="G366" s="146"/>
      <c r="H366" s="146"/>
      <c r="I366" s="146"/>
      <c r="J366" s="146"/>
      <c r="K366" s="146"/>
      <c r="L366" s="146"/>
      <c r="M366" s="146"/>
      <c r="N366" s="146"/>
      <c r="O366" s="146"/>
      <c r="P366" s="146"/>
      <c r="Q366" s="146"/>
      <c r="R366" s="146"/>
      <c r="S366" s="146"/>
      <c r="T366" s="146"/>
      <c r="U366" s="146"/>
      <c r="V366" s="146"/>
      <c r="W366" s="146"/>
      <c r="X366" s="146"/>
      <c r="Y366" s="146"/>
      <c r="Z366" s="146"/>
    </row>
    <row r="367" spans="1:26" ht="15.75" customHeight="1" x14ac:dyDescent="0.25">
      <c r="A367" s="146"/>
      <c r="B367" s="146"/>
      <c r="C367" s="146"/>
      <c r="D367" s="146"/>
      <c r="E367" s="146"/>
      <c r="F367" s="146"/>
      <c r="G367" s="146"/>
      <c r="H367" s="146"/>
      <c r="I367" s="146"/>
      <c r="J367" s="146"/>
      <c r="K367" s="146"/>
      <c r="L367" s="146"/>
      <c r="M367" s="146"/>
      <c r="N367" s="146"/>
      <c r="O367" s="146"/>
      <c r="P367" s="146"/>
      <c r="Q367" s="146"/>
      <c r="R367" s="146"/>
      <c r="S367" s="146"/>
      <c r="T367" s="146"/>
      <c r="U367" s="146"/>
      <c r="V367" s="146"/>
      <c r="W367" s="146"/>
      <c r="X367" s="146"/>
      <c r="Y367" s="146"/>
      <c r="Z367" s="146"/>
    </row>
    <row r="368" spans="1:26" ht="15.75" customHeight="1" x14ac:dyDescent="0.25">
      <c r="A368" s="146"/>
      <c r="B368" s="146"/>
      <c r="C368" s="146"/>
      <c r="D368" s="146"/>
      <c r="E368" s="146"/>
      <c r="F368" s="146"/>
      <c r="G368" s="146"/>
      <c r="H368" s="146"/>
      <c r="I368" s="146"/>
      <c r="J368" s="146"/>
      <c r="K368" s="146"/>
      <c r="L368" s="146"/>
      <c r="M368" s="146"/>
      <c r="N368" s="146"/>
      <c r="O368" s="146"/>
      <c r="P368" s="146"/>
      <c r="Q368" s="146"/>
      <c r="R368" s="146"/>
      <c r="S368" s="146"/>
      <c r="T368" s="146"/>
      <c r="U368" s="146"/>
      <c r="V368" s="146"/>
      <c r="W368" s="146"/>
      <c r="X368" s="146"/>
      <c r="Y368" s="146"/>
      <c r="Z368" s="146"/>
    </row>
    <row r="369" spans="1:26" ht="15.75" customHeight="1" x14ac:dyDescent="0.25">
      <c r="A369" s="146"/>
      <c r="B369" s="146"/>
      <c r="C369" s="146"/>
      <c r="D369" s="146"/>
      <c r="E369" s="146"/>
      <c r="F369" s="146"/>
      <c r="G369" s="146"/>
      <c r="H369" s="146"/>
      <c r="I369" s="146"/>
      <c r="J369" s="146"/>
      <c r="K369" s="146"/>
      <c r="L369" s="146"/>
      <c r="M369" s="146"/>
      <c r="N369" s="146"/>
      <c r="O369" s="146"/>
      <c r="P369" s="146"/>
      <c r="Q369" s="146"/>
      <c r="R369" s="146"/>
      <c r="S369" s="146"/>
      <c r="T369" s="146"/>
      <c r="U369" s="146"/>
      <c r="V369" s="146"/>
      <c r="W369" s="146"/>
      <c r="X369" s="146"/>
      <c r="Y369" s="146"/>
      <c r="Z369" s="146"/>
    </row>
    <row r="370" spans="1:26" ht="15.75" customHeight="1" x14ac:dyDescent="0.25">
      <c r="A370" s="146"/>
      <c r="B370" s="146"/>
      <c r="C370" s="146"/>
      <c r="D370" s="146"/>
      <c r="E370" s="146"/>
      <c r="F370" s="146"/>
      <c r="G370" s="146"/>
      <c r="H370" s="146"/>
      <c r="I370" s="146"/>
      <c r="J370" s="146"/>
      <c r="K370" s="146"/>
      <c r="L370" s="146"/>
      <c r="M370" s="146"/>
      <c r="N370" s="146"/>
      <c r="O370" s="146"/>
      <c r="P370" s="146"/>
      <c r="Q370" s="146"/>
      <c r="R370" s="146"/>
      <c r="S370" s="146"/>
      <c r="T370" s="146"/>
      <c r="U370" s="146"/>
      <c r="V370" s="146"/>
      <c r="W370" s="146"/>
      <c r="X370" s="146"/>
      <c r="Y370" s="146"/>
      <c r="Z370" s="146"/>
    </row>
    <row r="371" spans="1:26" ht="15.75" customHeight="1" x14ac:dyDescent="0.25">
      <c r="A371" s="146"/>
      <c r="B371" s="146"/>
      <c r="C371" s="146"/>
      <c r="D371" s="146"/>
      <c r="E371" s="146"/>
      <c r="F371" s="146"/>
      <c r="G371" s="146"/>
      <c r="H371" s="146"/>
      <c r="I371" s="146"/>
      <c r="J371" s="146"/>
      <c r="K371" s="146"/>
      <c r="L371" s="146"/>
      <c r="M371" s="146"/>
      <c r="N371" s="146"/>
      <c r="O371" s="146"/>
      <c r="P371" s="146"/>
      <c r="Q371" s="146"/>
      <c r="R371" s="146"/>
      <c r="S371" s="146"/>
      <c r="T371" s="146"/>
      <c r="U371" s="146"/>
      <c r="V371" s="146"/>
      <c r="W371" s="146"/>
      <c r="X371" s="146"/>
      <c r="Y371" s="146"/>
      <c r="Z371" s="146"/>
    </row>
    <row r="372" spans="1:26" ht="15.75" customHeight="1" x14ac:dyDescent="0.25">
      <c r="A372" s="146"/>
      <c r="B372" s="146"/>
      <c r="C372" s="146"/>
      <c r="D372" s="146"/>
      <c r="E372" s="146"/>
      <c r="F372" s="146"/>
      <c r="G372" s="146"/>
      <c r="H372" s="146"/>
      <c r="I372" s="146"/>
      <c r="J372" s="146"/>
      <c r="K372" s="146"/>
      <c r="L372" s="146"/>
      <c r="M372" s="146"/>
      <c r="N372" s="146"/>
      <c r="O372" s="146"/>
      <c r="P372" s="146"/>
      <c r="Q372" s="146"/>
      <c r="R372" s="146"/>
      <c r="S372" s="146"/>
      <c r="T372" s="146"/>
      <c r="U372" s="146"/>
      <c r="V372" s="146"/>
      <c r="W372" s="146"/>
      <c r="X372" s="146"/>
      <c r="Y372" s="146"/>
      <c r="Z372" s="146"/>
    </row>
    <row r="373" spans="1:26" ht="15.75" customHeight="1" x14ac:dyDescent="0.25">
      <c r="A373" s="146"/>
      <c r="B373" s="146"/>
      <c r="C373" s="146"/>
      <c r="D373" s="146"/>
      <c r="E373" s="146"/>
      <c r="F373" s="146"/>
      <c r="G373" s="146"/>
      <c r="H373" s="146"/>
      <c r="I373" s="146"/>
      <c r="J373" s="146"/>
      <c r="K373" s="146"/>
      <c r="L373" s="146"/>
      <c r="M373" s="146"/>
      <c r="N373" s="146"/>
      <c r="O373" s="146"/>
      <c r="P373" s="146"/>
      <c r="Q373" s="146"/>
      <c r="R373" s="146"/>
      <c r="S373" s="146"/>
      <c r="T373" s="146"/>
      <c r="U373" s="146"/>
      <c r="V373" s="146"/>
      <c r="W373" s="146"/>
      <c r="X373" s="146"/>
      <c r="Y373" s="146"/>
      <c r="Z373" s="146"/>
    </row>
    <row r="374" spans="1:26" ht="15.75" customHeight="1" x14ac:dyDescent="0.25">
      <c r="A374" s="146"/>
      <c r="B374" s="146"/>
      <c r="C374" s="146"/>
      <c r="D374" s="146"/>
      <c r="E374" s="146"/>
      <c r="F374" s="146"/>
      <c r="G374" s="146"/>
      <c r="H374" s="146"/>
      <c r="I374" s="146"/>
      <c r="J374" s="146"/>
      <c r="K374" s="146"/>
      <c r="L374" s="146"/>
      <c r="M374" s="146"/>
      <c r="N374" s="146"/>
      <c r="O374" s="146"/>
      <c r="P374" s="146"/>
      <c r="Q374" s="146"/>
      <c r="R374" s="146"/>
      <c r="S374" s="146"/>
      <c r="T374" s="146"/>
      <c r="U374" s="146"/>
      <c r="V374" s="146"/>
      <c r="W374" s="146"/>
      <c r="X374" s="146"/>
      <c r="Y374" s="146"/>
      <c r="Z374" s="146"/>
    </row>
    <row r="375" spans="1:26" ht="15.75" customHeight="1" x14ac:dyDescent="0.25">
      <c r="A375" s="146"/>
      <c r="B375" s="146"/>
      <c r="C375" s="146"/>
      <c r="D375" s="146"/>
      <c r="E375" s="146"/>
      <c r="F375" s="146"/>
      <c r="G375" s="146"/>
      <c r="H375" s="146"/>
      <c r="I375" s="146"/>
      <c r="J375" s="146"/>
      <c r="K375" s="146"/>
      <c r="L375" s="146"/>
      <c r="M375" s="146"/>
      <c r="N375" s="146"/>
      <c r="O375" s="146"/>
      <c r="P375" s="146"/>
      <c r="Q375" s="146"/>
      <c r="R375" s="146"/>
      <c r="S375" s="146"/>
      <c r="T375" s="146"/>
      <c r="U375" s="146"/>
      <c r="V375" s="146"/>
      <c r="W375" s="146"/>
      <c r="X375" s="146"/>
      <c r="Y375" s="146"/>
      <c r="Z375" s="146"/>
    </row>
    <row r="376" spans="1:26" ht="15.75" customHeight="1" x14ac:dyDescent="0.25">
      <c r="A376" s="146"/>
      <c r="B376" s="146"/>
      <c r="C376" s="146"/>
      <c r="D376" s="146"/>
      <c r="E376" s="146"/>
      <c r="F376" s="146"/>
      <c r="G376" s="146"/>
      <c r="H376" s="146"/>
      <c r="I376" s="146"/>
      <c r="J376" s="146"/>
      <c r="K376" s="146"/>
      <c r="L376" s="146"/>
      <c r="M376" s="146"/>
      <c r="N376" s="146"/>
      <c r="O376" s="146"/>
      <c r="P376" s="146"/>
      <c r="Q376" s="146"/>
      <c r="R376" s="146"/>
      <c r="S376" s="146"/>
      <c r="T376" s="146"/>
      <c r="U376" s="146"/>
      <c r="V376" s="146"/>
      <c r="W376" s="146"/>
      <c r="X376" s="146"/>
      <c r="Y376" s="146"/>
      <c r="Z376" s="146"/>
    </row>
    <row r="377" spans="1:26" ht="15.75" customHeight="1" x14ac:dyDescent="0.25">
      <c r="A377" s="146"/>
      <c r="B377" s="146"/>
      <c r="C377" s="146"/>
      <c r="D377" s="146"/>
      <c r="E377" s="146"/>
      <c r="F377" s="146"/>
      <c r="G377" s="146"/>
      <c r="H377" s="146"/>
      <c r="I377" s="146"/>
      <c r="J377" s="146"/>
      <c r="K377" s="146"/>
      <c r="L377" s="146"/>
      <c r="M377" s="146"/>
      <c r="N377" s="146"/>
      <c r="O377" s="146"/>
      <c r="P377" s="146"/>
      <c r="Q377" s="146"/>
      <c r="R377" s="146"/>
      <c r="S377" s="146"/>
      <c r="T377" s="146"/>
      <c r="U377" s="146"/>
      <c r="V377" s="146"/>
      <c r="W377" s="146"/>
      <c r="X377" s="146"/>
      <c r="Y377" s="146"/>
      <c r="Z377" s="146"/>
    </row>
    <row r="378" spans="1:26" ht="15.75" customHeight="1" x14ac:dyDescent="0.25">
      <c r="A378" s="146"/>
      <c r="B378" s="146"/>
      <c r="C378" s="146"/>
      <c r="D378" s="146"/>
      <c r="E378" s="146"/>
      <c r="F378" s="146"/>
      <c r="G378" s="146"/>
      <c r="H378" s="146"/>
      <c r="I378" s="146"/>
      <c r="J378" s="146"/>
      <c r="K378" s="146"/>
      <c r="L378" s="146"/>
      <c r="M378" s="146"/>
      <c r="N378" s="146"/>
      <c r="O378" s="146"/>
      <c r="P378" s="146"/>
      <c r="Q378" s="146"/>
      <c r="R378" s="146"/>
      <c r="S378" s="146"/>
      <c r="T378" s="146"/>
      <c r="U378" s="146"/>
      <c r="V378" s="146"/>
      <c r="W378" s="146"/>
      <c r="X378" s="146"/>
      <c r="Y378" s="146"/>
      <c r="Z378" s="146"/>
    </row>
    <row r="379" spans="1:26" ht="15.75" customHeight="1" x14ac:dyDescent="0.25">
      <c r="A379" s="146"/>
      <c r="B379" s="146"/>
      <c r="C379" s="146"/>
      <c r="D379" s="146"/>
      <c r="E379" s="146"/>
      <c r="F379" s="146"/>
      <c r="G379" s="146"/>
      <c r="H379" s="146"/>
      <c r="I379" s="146"/>
      <c r="J379" s="146"/>
      <c r="K379" s="146"/>
      <c r="L379" s="146"/>
      <c r="M379" s="146"/>
      <c r="N379" s="146"/>
      <c r="O379" s="146"/>
      <c r="P379" s="146"/>
      <c r="Q379" s="146"/>
      <c r="R379" s="146"/>
      <c r="S379" s="146"/>
      <c r="T379" s="146"/>
      <c r="U379" s="146"/>
      <c r="V379" s="146"/>
      <c r="W379" s="146"/>
      <c r="X379" s="146"/>
      <c r="Y379" s="146"/>
      <c r="Z379" s="146"/>
    </row>
    <row r="380" spans="1:26" ht="15.75" customHeight="1" x14ac:dyDescent="0.25">
      <c r="A380" s="146"/>
      <c r="B380" s="146"/>
      <c r="C380" s="146"/>
      <c r="D380" s="146"/>
      <c r="E380" s="146"/>
      <c r="F380" s="146"/>
      <c r="G380" s="146"/>
      <c r="H380" s="146"/>
      <c r="I380" s="146"/>
      <c r="J380" s="146"/>
      <c r="K380" s="146"/>
      <c r="L380" s="146"/>
      <c r="M380" s="146"/>
      <c r="N380" s="146"/>
      <c r="O380" s="146"/>
      <c r="P380" s="146"/>
      <c r="Q380" s="146"/>
      <c r="R380" s="146"/>
      <c r="S380" s="146"/>
      <c r="T380" s="146"/>
      <c r="U380" s="146"/>
      <c r="V380" s="146"/>
      <c r="W380" s="146"/>
      <c r="X380" s="146"/>
      <c r="Y380" s="146"/>
      <c r="Z380" s="146"/>
    </row>
    <row r="381" spans="1:26" ht="15.75" customHeight="1" x14ac:dyDescent="0.25">
      <c r="A381" s="146"/>
      <c r="B381" s="146"/>
      <c r="C381" s="146"/>
      <c r="D381" s="146"/>
      <c r="E381" s="146"/>
      <c r="F381" s="146"/>
      <c r="G381" s="146"/>
      <c r="H381" s="146"/>
      <c r="I381" s="146"/>
      <c r="J381" s="146"/>
      <c r="K381" s="146"/>
      <c r="L381" s="146"/>
      <c r="M381" s="146"/>
      <c r="N381" s="146"/>
      <c r="O381" s="146"/>
      <c r="P381" s="146"/>
      <c r="Q381" s="146"/>
      <c r="R381" s="146"/>
      <c r="S381" s="146"/>
      <c r="T381" s="146"/>
      <c r="U381" s="146"/>
      <c r="V381" s="146"/>
      <c r="W381" s="146"/>
      <c r="X381" s="146"/>
      <c r="Y381" s="146"/>
      <c r="Z381" s="146"/>
    </row>
    <row r="382" spans="1:26" ht="15.75" customHeight="1" x14ac:dyDescent="0.25">
      <c r="A382" s="146"/>
      <c r="B382" s="146"/>
      <c r="C382" s="146"/>
      <c r="D382" s="146"/>
      <c r="E382" s="146"/>
      <c r="F382" s="146"/>
      <c r="G382" s="146"/>
      <c r="H382" s="146"/>
      <c r="I382" s="146"/>
      <c r="J382" s="146"/>
      <c r="K382" s="146"/>
      <c r="L382" s="146"/>
      <c r="M382" s="146"/>
      <c r="N382" s="146"/>
      <c r="O382" s="146"/>
      <c r="P382" s="146"/>
      <c r="Q382" s="146"/>
      <c r="R382" s="146"/>
      <c r="S382" s="146"/>
      <c r="T382" s="146"/>
      <c r="U382" s="146"/>
      <c r="V382" s="146"/>
      <c r="W382" s="146"/>
      <c r="X382" s="146"/>
      <c r="Y382" s="146"/>
      <c r="Z382" s="146"/>
    </row>
    <row r="383" spans="1:26" ht="15.75" customHeight="1" x14ac:dyDescent="0.25">
      <c r="A383" s="146"/>
      <c r="B383" s="146"/>
      <c r="C383" s="146"/>
      <c r="D383" s="146"/>
      <c r="E383" s="146"/>
      <c r="F383" s="146"/>
      <c r="G383" s="146"/>
      <c r="H383" s="146"/>
      <c r="I383" s="146"/>
      <c r="J383" s="146"/>
      <c r="K383" s="146"/>
      <c r="L383" s="146"/>
      <c r="M383" s="146"/>
      <c r="N383" s="146"/>
      <c r="O383" s="146"/>
      <c r="P383" s="146"/>
      <c r="Q383" s="146"/>
      <c r="R383" s="146"/>
      <c r="S383" s="146"/>
      <c r="T383" s="146"/>
      <c r="U383" s="146"/>
      <c r="V383" s="146"/>
      <c r="W383" s="146"/>
      <c r="X383" s="146"/>
      <c r="Y383" s="146"/>
      <c r="Z383" s="146"/>
    </row>
    <row r="384" spans="1:26" ht="15.75" customHeight="1" x14ac:dyDescent="0.25">
      <c r="A384" s="146"/>
      <c r="B384" s="146"/>
      <c r="C384" s="146"/>
      <c r="D384" s="146"/>
      <c r="E384" s="146"/>
      <c r="F384" s="146"/>
      <c r="G384" s="146"/>
      <c r="H384" s="146"/>
      <c r="I384" s="146"/>
      <c r="J384" s="146"/>
      <c r="K384" s="146"/>
      <c r="L384" s="146"/>
      <c r="M384" s="146"/>
      <c r="N384" s="146"/>
      <c r="O384" s="146"/>
      <c r="P384" s="146"/>
      <c r="Q384" s="146"/>
      <c r="R384" s="146"/>
      <c r="S384" s="146"/>
      <c r="T384" s="146"/>
      <c r="U384" s="146"/>
      <c r="V384" s="146"/>
      <c r="W384" s="146"/>
      <c r="X384" s="146"/>
      <c r="Y384" s="146"/>
      <c r="Z384" s="146"/>
    </row>
    <row r="385" spans="1:26" ht="15.75" customHeight="1" x14ac:dyDescent="0.25">
      <c r="A385" s="146"/>
      <c r="B385" s="146"/>
      <c r="C385" s="146"/>
      <c r="D385" s="146"/>
      <c r="E385" s="146"/>
      <c r="F385" s="146"/>
      <c r="G385" s="146"/>
      <c r="H385" s="146"/>
      <c r="I385" s="146"/>
      <c r="J385" s="146"/>
      <c r="K385" s="146"/>
      <c r="L385" s="146"/>
      <c r="M385" s="146"/>
      <c r="N385" s="146"/>
      <c r="O385" s="146"/>
      <c r="P385" s="146"/>
      <c r="Q385" s="146"/>
      <c r="R385" s="146"/>
      <c r="S385" s="146"/>
      <c r="T385" s="146"/>
      <c r="U385" s="146"/>
      <c r="V385" s="146"/>
      <c r="W385" s="146"/>
      <c r="X385" s="146"/>
      <c r="Y385" s="146"/>
      <c r="Z385" s="146"/>
    </row>
    <row r="386" spans="1:26" ht="15.75" customHeight="1" x14ac:dyDescent="0.25">
      <c r="A386" s="146"/>
      <c r="B386" s="146"/>
      <c r="C386" s="146"/>
      <c r="D386" s="146"/>
      <c r="E386" s="146"/>
      <c r="F386" s="146"/>
      <c r="G386" s="146"/>
      <c r="H386" s="146"/>
      <c r="I386" s="146"/>
      <c r="J386" s="146"/>
      <c r="K386" s="146"/>
      <c r="L386" s="146"/>
      <c r="M386" s="146"/>
      <c r="N386" s="146"/>
      <c r="O386" s="146"/>
      <c r="P386" s="146"/>
      <c r="Q386" s="146"/>
      <c r="R386" s="146"/>
      <c r="S386" s="146"/>
      <c r="T386" s="146"/>
      <c r="U386" s="146"/>
      <c r="V386" s="146"/>
      <c r="W386" s="146"/>
      <c r="X386" s="146"/>
      <c r="Y386" s="146"/>
      <c r="Z386" s="146"/>
    </row>
    <row r="387" spans="1:26" ht="15.75" customHeight="1" x14ac:dyDescent="0.25">
      <c r="A387" s="146"/>
      <c r="B387" s="146"/>
      <c r="C387" s="146"/>
      <c r="D387" s="146"/>
      <c r="E387" s="146"/>
      <c r="F387" s="146"/>
      <c r="G387" s="146"/>
      <c r="H387" s="146"/>
      <c r="I387" s="146"/>
      <c r="J387" s="146"/>
      <c r="K387" s="146"/>
      <c r="L387" s="146"/>
      <c r="M387" s="146"/>
      <c r="N387" s="146"/>
      <c r="O387" s="146"/>
      <c r="P387" s="146"/>
      <c r="Q387" s="146"/>
      <c r="R387" s="146"/>
      <c r="S387" s="146"/>
      <c r="T387" s="146"/>
      <c r="U387" s="146"/>
      <c r="V387" s="146"/>
      <c r="W387" s="146"/>
      <c r="X387" s="146"/>
      <c r="Y387" s="146"/>
      <c r="Z387" s="146"/>
    </row>
    <row r="388" spans="1:26" ht="15.75" customHeight="1" x14ac:dyDescent="0.25">
      <c r="A388" s="146"/>
      <c r="B388" s="146"/>
      <c r="C388" s="146"/>
      <c r="D388" s="146"/>
      <c r="E388" s="146"/>
      <c r="F388" s="146"/>
      <c r="G388" s="146"/>
      <c r="H388" s="146"/>
      <c r="I388" s="146"/>
      <c r="J388" s="146"/>
      <c r="K388" s="146"/>
      <c r="L388" s="146"/>
      <c r="M388" s="146"/>
      <c r="N388" s="146"/>
      <c r="O388" s="146"/>
      <c r="P388" s="146"/>
      <c r="Q388" s="146"/>
      <c r="R388" s="146"/>
      <c r="S388" s="146"/>
      <c r="T388" s="146"/>
      <c r="U388" s="146"/>
      <c r="V388" s="146"/>
      <c r="W388" s="146"/>
      <c r="X388" s="146"/>
      <c r="Y388" s="146"/>
      <c r="Z388" s="146"/>
    </row>
    <row r="389" spans="1:26" ht="15.75" customHeight="1" x14ac:dyDescent="0.25">
      <c r="A389" s="146"/>
      <c r="B389" s="146"/>
      <c r="C389" s="146"/>
      <c r="D389" s="146"/>
      <c r="E389" s="146"/>
      <c r="F389" s="146"/>
      <c r="G389" s="146"/>
      <c r="H389" s="146"/>
      <c r="I389" s="146"/>
      <c r="J389" s="146"/>
      <c r="K389" s="146"/>
      <c r="L389" s="146"/>
      <c r="M389" s="146"/>
      <c r="N389" s="146"/>
      <c r="O389" s="146"/>
      <c r="P389" s="146"/>
      <c r="Q389" s="146"/>
      <c r="R389" s="146"/>
      <c r="S389" s="146"/>
      <c r="T389" s="146"/>
      <c r="U389" s="146"/>
      <c r="V389" s="146"/>
      <c r="W389" s="146"/>
      <c r="X389" s="146"/>
      <c r="Y389" s="146"/>
      <c r="Z389" s="146"/>
    </row>
    <row r="390" spans="1:26" ht="15.75" customHeight="1" x14ac:dyDescent="0.25">
      <c r="A390" s="146"/>
      <c r="B390" s="146"/>
      <c r="C390" s="146"/>
      <c r="D390" s="146"/>
      <c r="E390" s="146"/>
      <c r="F390" s="146"/>
      <c r="G390" s="146"/>
      <c r="H390" s="146"/>
      <c r="I390" s="146"/>
      <c r="J390" s="146"/>
      <c r="K390" s="146"/>
      <c r="L390" s="146"/>
      <c r="M390" s="146"/>
      <c r="N390" s="146"/>
      <c r="O390" s="146"/>
      <c r="P390" s="146"/>
      <c r="Q390" s="146"/>
      <c r="R390" s="146"/>
      <c r="S390" s="146"/>
      <c r="T390" s="146"/>
      <c r="U390" s="146"/>
      <c r="V390" s="146"/>
      <c r="W390" s="146"/>
      <c r="X390" s="146"/>
      <c r="Y390" s="146"/>
      <c r="Z390" s="146"/>
    </row>
    <row r="391" spans="1:26" ht="15.75" customHeight="1" x14ac:dyDescent="0.25">
      <c r="A391" s="146"/>
      <c r="B391" s="146"/>
      <c r="C391" s="146"/>
      <c r="D391" s="146"/>
      <c r="E391" s="146"/>
      <c r="F391" s="146"/>
      <c r="G391" s="146"/>
      <c r="H391" s="146"/>
      <c r="I391" s="146"/>
      <c r="J391" s="146"/>
      <c r="K391" s="146"/>
      <c r="L391" s="146"/>
      <c r="M391" s="146"/>
      <c r="N391" s="146"/>
      <c r="O391" s="146"/>
      <c r="P391" s="146"/>
      <c r="Q391" s="146"/>
      <c r="R391" s="146"/>
      <c r="S391" s="146"/>
      <c r="T391" s="146"/>
      <c r="U391" s="146"/>
      <c r="V391" s="146"/>
      <c r="W391" s="146"/>
      <c r="X391" s="146"/>
      <c r="Y391" s="146"/>
      <c r="Z391" s="146"/>
    </row>
    <row r="392" spans="1:26" ht="15.75" customHeight="1" x14ac:dyDescent="0.25">
      <c r="A392" s="146"/>
      <c r="B392" s="146"/>
      <c r="C392" s="146"/>
      <c r="D392" s="146"/>
      <c r="E392" s="146"/>
      <c r="F392" s="146"/>
      <c r="G392" s="146"/>
      <c r="H392" s="146"/>
      <c r="I392" s="146"/>
      <c r="J392" s="146"/>
      <c r="K392" s="146"/>
      <c r="L392" s="146"/>
      <c r="M392" s="146"/>
      <c r="N392" s="146"/>
      <c r="O392" s="146"/>
      <c r="P392" s="146"/>
      <c r="Q392" s="146"/>
      <c r="R392" s="146"/>
      <c r="S392" s="146"/>
      <c r="T392" s="146"/>
      <c r="U392" s="146"/>
      <c r="V392" s="146"/>
      <c r="W392" s="146"/>
      <c r="X392" s="146"/>
      <c r="Y392" s="146"/>
      <c r="Z392" s="146"/>
    </row>
    <row r="393" spans="1:26" ht="15.75" customHeight="1" x14ac:dyDescent="0.25">
      <c r="A393" s="146"/>
      <c r="B393" s="146"/>
      <c r="C393" s="146"/>
      <c r="D393" s="146"/>
      <c r="E393" s="146"/>
      <c r="F393" s="146"/>
      <c r="G393" s="146"/>
      <c r="H393" s="146"/>
      <c r="I393" s="146"/>
      <c r="J393" s="146"/>
      <c r="K393" s="146"/>
      <c r="L393" s="146"/>
      <c r="M393" s="146"/>
      <c r="N393" s="146"/>
      <c r="O393" s="146"/>
      <c r="P393" s="146"/>
      <c r="Q393" s="146"/>
      <c r="R393" s="146"/>
      <c r="S393" s="146"/>
      <c r="T393" s="146"/>
      <c r="U393" s="146"/>
      <c r="V393" s="146"/>
      <c r="W393" s="146"/>
      <c r="X393" s="146"/>
      <c r="Y393" s="146"/>
      <c r="Z393" s="146"/>
    </row>
    <row r="394" spans="1:26" ht="15.75" customHeight="1" x14ac:dyDescent="0.25">
      <c r="A394" s="146"/>
      <c r="B394" s="146"/>
      <c r="C394" s="146"/>
      <c r="D394" s="146"/>
      <c r="E394" s="146"/>
      <c r="F394" s="146"/>
      <c r="G394" s="146"/>
      <c r="H394" s="146"/>
      <c r="I394" s="146"/>
      <c r="J394" s="146"/>
      <c r="K394" s="146"/>
      <c r="L394" s="146"/>
      <c r="M394" s="146"/>
      <c r="N394" s="146"/>
      <c r="O394" s="146"/>
      <c r="P394" s="146"/>
      <c r="Q394" s="146"/>
      <c r="R394" s="146"/>
      <c r="S394" s="146"/>
      <c r="T394" s="146"/>
      <c r="U394" s="146"/>
      <c r="V394" s="146"/>
      <c r="W394" s="146"/>
      <c r="X394" s="146"/>
      <c r="Y394" s="146"/>
      <c r="Z394" s="146"/>
    </row>
    <row r="395" spans="1:26" ht="15.75" customHeight="1" x14ac:dyDescent="0.25">
      <c r="A395" s="146"/>
      <c r="B395" s="146"/>
      <c r="C395" s="146"/>
      <c r="D395" s="146"/>
      <c r="E395" s="146"/>
      <c r="F395" s="146"/>
      <c r="G395" s="146"/>
      <c r="H395" s="146"/>
      <c r="I395" s="146"/>
      <c r="J395" s="146"/>
      <c r="K395" s="146"/>
      <c r="L395" s="146"/>
      <c r="M395" s="146"/>
      <c r="N395" s="146"/>
      <c r="O395" s="146"/>
      <c r="P395" s="146"/>
      <c r="Q395" s="146"/>
      <c r="R395" s="146"/>
      <c r="S395" s="146"/>
      <c r="T395" s="146"/>
      <c r="U395" s="146"/>
      <c r="V395" s="146"/>
      <c r="W395" s="146"/>
      <c r="X395" s="146"/>
      <c r="Y395" s="146"/>
      <c r="Z395" s="146"/>
    </row>
    <row r="396" spans="1:26" ht="15.75" customHeight="1" x14ac:dyDescent="0.25">
      <c r="A396" s="146"/>
      <c r="B396" s="146"/>
      <c r="C396" s="146"/>
      <c r="D396" s="146"/>
      <c r="E396" s="146"/>
      <c r="F396" s="146"/>
      <c r="G396" s="146"/>
      <c r="H396" s="146"/>
      <c r="I396" s="146"/>
      <c r="J396" s="146"/>
      <c r="K396" s="146"/>
      <c r="L396" s="146"/>
      <c r="M396" s="146"/>
      <c r="N396" s="146"/>
      <c r="O396" s="146"/>
      <c r="P396" s="146"/>
      <c r="Q396" s="146"/>
      <c r="R396" s="146"/>
      <c r="S396" s="146"/>
      <c r="T396" s="146"/>
      <c r="U396" s="146"/>
      <c r="V396" s="146"/>
      <c r="W396" s="146"/>
      <c r="X396" s="146"/>
      <c r="Y396" s="146"/>
      <c r="Z396" s="146"/>
    </row>
    <row r="397" spans="1:26" ht="15.75" customHeight="1" x14ac:dyDescent="0.25">
      <c r="A397" s="146"/>
      <c r="B397" s="146"/>
      <c r="C397" s="146"/>
      <c r="D397" s="146"/>
      <c r="E397" s="146"/>
      <c r="F397" s="146"/>
      <c r="G397" s="146"/>
      <c r="H397" s="146"/>
      <c r="I397" s="146"/>
      <c r="J397" s="146"/>
      <c r="K397" s="146"/>
      <c r="L397" s="146"/>
      <c r="M397" s="146"/>
      <c r="N397" s="146"/>
      <c r="O397" s="146"/>
      <c r="P397" s="146"/>
      <c r="Q397" s="146"/>
      <c r="R397" s="146"/>
      <c r="S397" s="146"/>
      <c r="T397" s="146"/>
      <c r="U397" s="146"/>
      <c r="V397" s="146"/>
      <c r="W397" s="146"/>
      <c r="X397" s="146"/>
      <c r="Y397" s="146"/>
      <c r="Z397" s="146"/>
    </row>
    <row r="398" spans="1:26" ht="15.75" customHeight="1" x14ac:dyDescent="0.25">
      <c r="A398" s="146"/>
      <c r="B398" s="146"/>
      <c r="C398" s="146"/>
      <c r="D398" s="146"/>
      <c r="E398" s="146"/>
      <c r="F398" s="146"/>
      <c r="G398" s="146"/>
      <c r="H398" s="146"/>
      <c r="I398" s="146"/>
      <c r="J398" s="146"/>
      <c r="K398" s="146"/>
      <c r="L398" s="146"/>
      <c r="M398" s="146"/>
      <c r="N398" s="146"/>
      <c r="O398" s="146"/>
      <c r="P398" s="146"/>
      <c r="Q398" s="146"/>
      <c r="R398" s="146"/>
      <c r="S398" s="146"/>
      <c r="T398" s="146"/>
      <c r="U398" s="146"/>
      <c r="V398" s="146"/>
      <c r="W398" s="146"/>
      <c r="X398" s="146"/>
      <c r="Y398" s="146"/>
      <c r="Z398" s="146"/>
    </row>
    <row r="399" spans="1:26" ht="15.75" customHeight="1" x14ac:dyDescent="0.25">
      <c r="A399" s="146"/>
      <c r="B399" s="146"/>
      <c r="C399" s="146"/>
      <c r="D399" s="146"/>
      <c r="E399" s="146"/>
      <c r="F399" s="146"/>
      <c r="G399" s="146"/>
      <c r="H399" s="146"/>
      <c r="I399" s="146"/>
      <c r="J399" s="146"/>
      <c r="K399" s="146"/>
      <c r="L399" s="146"/>
      <c r="M399" s="146"/>
      <c r="N399" s="146"/>
      <c r="O399" s="146"/>
      <c r="P399" s="146"/>
      <c r="Q399" s="146"/>
      <c r="R399" s="146"/>
      <c r="S399" s="146"/>
      <c r="T399" s="146"/>
      <c r="U399" s="146"/>
      <c r="V399" s="146"/>
      <c r="W399" s="146"/>
      <c r="X399" s="146"/>
      <c r="Y399" s="146"/>
      <c r="Z399" s="146"/>
    </row>
    <row r="400" spans="1:26" ht="15.75" customHeight="1" x14ac:dyDescent="0.25">
      <c r="A400" s="146"/>
      <c r="B400" s="146"/>
      <c r="C400" s="146"/>
      <c r="D400" s="146"/>
      <c r="E400" s="146"/>
      <c r="F400" s="146"/>
      <c r="G400" s="146"/>
      <c r="H400" s="146"/>
      <c r="I400" s="146"/>
      <c r="J400" s="146"/>
      <c r="K400" s="146"/>
      <c r="L400" s="146"/>
      <c r="M400" s="146"/>
      <c r="N400" s="146"/>
      <c r="O400" s="146"/>
      <c r="P400" s="146"/>
      <c r="Q400" s="146"/>
      <c r="R400" s="146"/>
      <c r="S400" s="146"/>
      <c r="T400" s="146"/>
      <c r="U400" s="146"/>
      <c r="V400" s="146"/>
      <c r="W400" s="146"/>
      <c r="X400" s="146"/>
      <c r="Y400" s="146"/>
      <c r="Z400" s="146"/>
    </row>
    <row r="401" spans="1:26" ht="15.75" customHeight="1" x14ac:dyDescent="0.25">
      <c r="A401" s="146"/>
      <c r="B401" s="146"/>
      <c r="C401" s="146"/>
      <c r="D401" s="146"/>
      <c r="E401" s="146"/>
      <c r="F401" s="146"/>
      <c r="G401" s="146"/>
      <c r="H401" s="146"/>
      <c r="I401" s="146"/>
      <c r="J401" s="146"/>
      <c r="K401" s="146"/>
      <c r="L401" s="146"/>
      <c r="M401" s="146"/>
      <c r="N401" s="146"/>
      <c r="O401" s="146"/>
      <c r="P401" s="146"/>
      <c r="Q401" s="146"/>
      <c r="R401" s="146"/>
      <c r="S401" s="146"/>
      <c r="T401" s="146"/>
      <c r="U401" s="146"/>
      <c r="V401" s="146"/>
      <c r="W401" s="146"/>
      <c r="X401" s="146"/>
      <c r="Y401" s="146"/>
      <c r="Z401" s="146"/>
    </row>
    <row r="402" spans="1:26" ht="15.75" customHeight="1" x14ac:dyDescent="0.25">
      <c r="A402" s="146"/>
      <c r="B402" s="146"/>
      <c r="C402" s="146"/>
      <c r="D402" s="146"/>
      <c r="E402" s="146"/>
      <c r="F402" s="146"/>
      <c r="G402" s="146"/>
      <c r="H402" s="146"/>
      <c r="I402" s="146"/>
      <c r="J402" s="146"/>
      <c r="K402" s="146"/>
      <c r="L402" s="146"/>
      <c r="M402" s="146"/>
      <c r="N402" s="146"/>
      <c r="O402" s="146"/>
      <c r="P402" s="146"/>
      <c r="Q402" s="146"/>
      <c r="R402" s="146"/>
      <c r="S402" s="146"/>
      <c r="T402" s="146"/>
      <c r="U402" s="146"/>
      <c r="V402" s="146"/>
      <c r="W402" s="146"/>
      <c r="X402" s="146"/>
      <c r="Y402" s="146"/>
      <c r="Z402" s="146"/>
    </row>
    <row r="403" spans="1:26" ht="15.75" customHeight="1" x14ac:dyDescent="0.25">
      <c r="A403" s="146"/>
      <c r="B403" s="146"/>
      <c r="C403" s="146"/>
      <c r="D403" s="146"/>
      <c r="E403" s="146"/>
      <c r="F403" s="146"/>
      <c r="G403" s="146"/>
      <c r="H403" s="146"/>
      <c r="I403" s="146"/>
      <c r="J403" s="146"/>
      <c r="K403" s="146"/>
      <c r="L403" s="146"/>
      <c r="M403" s="146"/>
      <c r="N403" s="146"/>
      <c r="O403" s="146"/>
      <c r="P403" s="146"/>
      <c r="Q403" s="146"/>
      <c r="R403" s="146"/>
      <c r="S403" s="146"/>
      <c r="T403" s="146"/>
      <c r="U403" s="146"/>
      <c r="V403" s="146"/>
      <c r="W403" s="146"/>
      <c r="X403" s="146"/>
      <c r="Y403" s="146"/>
      <c r="Z403" s="146"/>
    </row>
    <row r="404" spans="1:26" ht="15.75" customHeight="1" x14ac:dyDescent="0.25">
      <c r="A404" s="146"/>
      <c r="B404" s="146"/>
      <c r="C404" s="146"/>
      <c r="D404" s="146"/>
      <c r="E404" s="146"/>
      <c r="F404" s="146"/>
      <c r="G404" s="146"/>
      <c r="H404" s="146"/>
      <c r="I404" s="146"/>
      <c r="J404" s="146"/>
      <c r="K404" s="146"/>
      <c r="L404" s="146"/>
      <c r="M404" s="146"/>
      <c r="N404" s="146"/>
      <c r="O404" s="146"/>
      <c r="P404" s="146"/>
      <c r="Q404" s="146"/>
      <c r="R404" s="146"/>
      <c r="S404" s="146"/>
      <c r="T404" s="146"/>
      <c r="U404" s="146"/>
      <c r="V404" s="146"/>
      <c r="W404" s="146"/>
      <c r="X404" s="146"/>
      <c r="Y404" s="146"/>
      <c r="Z404" s="146"/>
    </row>
    <row r="405" spans="1:26" ht="15.75" customHeight="1" x14ac:dyDescent="0.25">
      <c r="A405" s="146"/>
      <c r="B405" s="146"/>
      <c r="C405" s="146"/>
      <c r="D405" s="146"/>
      <c r="E405" s="146"/>
      <c r="F405" s="146"/>
      <c r="G405" s="146"/>
      <c r="H405" s="146"/>
      <c r="I405" s="146"/>
      <c r="J405" s="146"/>
      <c r="K405" s="146"/>
      <c r="L405" s="146"/>
      <c r="M405" s="146"/>
      <c r="N405" s="146"/>
      <c r="O405" s="146"/>
      <c r="P405" s="146"/>
      <c r="Q405" s="146"/>
      <c r="R405" s="146"/>
      <c r="S405" s="146"/>
      <c r="T405" s="146"/>
      <c r="U405" s="146"/>
      <c r="V405" s="146"/>
      <c r="W405" s="146"/>
      <c r="X405" s="146"/>
      <c r="Y405" s="146"/>
      <c r="Z405" s="146"/>
    </row>
    <row r="406" spans="1:26" ht="15.75" customHeight="1" x14ac:dyDescent="0.25">
      <c r="A406" s="146"/>
      <c r="B406" s="146"/>
      <c r="C406" s="146"/>
      <c r="D406" s="146"/>
      <c r="E406" s="146"/>
      <c r="F406" s="146"/>
      <c r="G406" s="146"/>
      <c r="H406" s="146"/>
      <c r="I406" s="146"/>
      <c r="J406" s="146"/>
      <c r="K406" s="146"/>
      <c r="L406" s="146"/>
      <c r="M406" s="146"/>
      <c r="N406" s="146"/>
      <c r="O406" s="146"/>
      <c r="P406" s="146"/>
      <c r="Q406" s="146"/>
      <c r="R406" s="146"/>
      <c r="S406" s="146"/>
      <c r="T406" s="146"/>
      <c r="U406" s="146"/>
      <c r="V406" s="146"/>
      <c r="W406" s="146"/>
      <c r="X406" s="146"/>
      <c r="Y406" s="146"/>
      <c r="Z406" s="146"/>
    </row>
    <row r="407" spans="1:26" ht="15.75" customHeight="1" x14ac:dyDescent="0.25">
      <c r="A407" s="146"/>
      <c r="B407" s="146"/>
      <c r="C407" s="146"/>
      <c r="D407" s="146"/>
      <c r="E407" s="146"/>
      <c r="F407" s="146"/>
      <c r="G407" s="146"/>
      <c r="H407" s="146"/>
      <c r="I407" s="146"/>
      <c r="J407" s="146"/>
      <c r="K407" s="146"/>
      <c r="L407" s="146"/>
      <c r="M407" s="146"/>
      <c r="N407" s="146"/>
      <c r="O407" s="146"/>
      <c r="P407" s="146"/>
      <c r="Q407" s="146"/>
      <c r="R407" s="146"/>
      <c r="S407" s="146"/>
      <c r="T407" s="146"/>
      <c r="U407" s="146"/>
      <c r="V407" s="146"/>
      <c r="W407" s="146"/>
      <c r="X407" s="146"/>
      <c r="Y407" s="146"/>
      <c r="Z407" s="146"/>
    </row>
    <row r="408" spans="1:26" ht="15.75" customHeight="1" x14ac:dyDescent="0.25">
      <c r="A408" s="146"/>
      <c r="B408" s="146"/>
      <c r="C408" s="146"/>
      <c r="D408" s="146"/>
      <c r="E408" s="146"/>
      <c r="F408" s="146"/>
      <c r="G408" s="146"/>
      <c r="H408" s="146"/>
      <c r="I408" s="146"/>
      <c r="J408" s="146"/>
      <c r="K408" s="146"/>
      <c r="L408" s="146"/>
      <c r="M408" s="146"/>
      <c r="N408" s="146"/>
      <c r="O408" s="146"/>
      <c r="P408" s="146"/>
      <c r="Q408" s="146"/>
      <c r="R408" s="146"/>
      <c r="S408" s="146"/>
      <c r="T408" s="146"/>
      <c r="U408" s="146"/>
      <c r="V408" s="146"/>
      <c r="W408" s="146"/>
      <c r="X408" s="146"/>
      <c r="Y408" s="146"/>
      <c r="Z408" s="146"/>
    </row>
    <row r="409" spans="1:26" ht="15.75" customHeight="1" x14ac:dyDescent="0.25">
      <c r="A409" s="146"/>
      <c r="B409" s="146"/>
      <c r="C409" s="146"/>
      <c r="D409" s="146"/>
      <c r="E409" s="146"/>
      <c r="F409" s="146"/>
      <c r="G409" s="146"/>
      <c r="H409" s="146"/>
      <c r="I409" s="146"/>
      <c r="J409" s="146"/>
      <c r="K409" s="146"/>
      <c r="L409" s="146"/>
      <c r="M409" s="146"/>
      <c r="N409" s="146"/>
      <c r="O409" s="146"/>
      <c r="P409" s="146"/>
      <c r="Q409" s="146"/>
      <c r="R409" s="146"/>
      <c r="S409" s="146"/>
      <c r="T409" s="146"/>
      <c r="U409" s="146"/>
      <c r="V409" s="146"/>
      <c r="W409" s="146"/>
      <c r="X409" s="146"/>
      <c r="Y409" s="146"/>
      <c r="Z409" s="146"/>
    </row>
    <row r="410" spans="1:26" ht="15.75" customHeight="1" x14ac:dyDescent="0.25">
      <c r="A410" s="146"/>
      <c r="B410" s="146"/>
      <c r="C410" s="146"/>
      <c r="D410" s="146"/>
      <c r="E410" s="146"/>
      <c r="F410" s="146"/>
      <c r="G410" s="146"/>
      <c r="H410" s="146"/>
      <c r="I410" s="146"/>
      <c r="J410" s="146"/>
      <c r="K410" s="146"/>
      <c r="L410" s="146"/>
      <c r="M410" s="146"/>
      <c r="N410" s="146"/>
      <c r="O410" s="146"/>
      <c r="P410" s="146"/>
      <c r="Q410" s="146"/>
      <c r="R410" s="146"/>
      <c r="S410" s="146"/>
      <c r="T410" s="146"/>
      <c r="U410" s="146"/>
      <c r="V410" s="146"/>
      <c r="W410" s="146"/>
      <c r="X410" s="146"/>
      <c r="Y410" s="146"/>
      <c r="Z410" s="146"/>
    </row>
    <row r="411" spans="1:26" ht="15.75" customHeight="1" x14ac:dyDescent="0.25">
      <c r="A411" s="146"/>
      <c r="B411" s="146"/>
      <c r="C411" s="146"/>
      <c r="D411" s="146"/>
      <c r="E411" s="146"/>
      <c r="F411" s="146"/>
      <c r="G411" s="146"/>
      <c r="H411" s="146"/>
      <c r="I411" s="146"/>
      <c r="J411" s="146"/>
      <c r="K411" s="146"/>
      <c r="L411" s="146"/>
      <c r="M411" s="146"/>
      <c r="N411" s="146"/>
      <c r="O411" s="146"/>
      <c r="P411" s="146"/>
      <c r="Q411" s="146"/>
      <c r="R411" s="146"/>
      <c r="S411" s="146"/>
      <c r="T411" s="146"/>
      <c r="U411" s="146"/>
      <c r="V411" s="146"/>
      <c r="W411" s="146"/>
      <c r="X411" s="146"/>
      <c r="Y411" s="146"/>
      <c r="Z411" s="146"/>
    </row>
    <row r="412" spans="1:26" ht="15.75" customHeight="1" x14ac:dyDescent="0.25">
      <c r="A412" s="146"/>
      <c r="B412" s="146"/>
      <c r="C412" s="146"/>
      <c r="D412" s="146"/>
      <c r="E412" s="146"/>
      <c r="F412" s="146"/>
      <c r="G412" s="146"/>
      <c r="H412" s="146"/>
      <c r="I412" s="146"/>
      <c r="J412" s="146"/>
      <c r="K412" s="146"/>
      <c r="L412" s="146"/>
      <c r="M412" s="146"/>
      <c r="N412" s="146"/>
      <c r="O412" s="146"/>
      <c r="P412" s="146"/>
      <c r="Q412" s="146"/>
      <c r="R412" s="146"/>
      <c r="S412" s="146"/>
      <c r="T412" s="146"/>
      <c r="U412" s="146"/>
      <c r="V412" s="146"/>
      <c r="W412" s="146"/>
      <c r="X412" s="146"/>
      <c r="Y412" s="146"/>
      <c r="Z412" s="146"/>
    </row>
    <row r="413" spans="1:26" ht="15.75" customHeight="1" x14ac:dyDescent="0.25">
      <c r="A413" s="146"/>
      <c r="B413" s="146"/>
      <c r="C413" s="146"/>
      <c r="D413" s="146"/>
      <c r="E413" s="146"/>
      <c r="F413" s="146"/>
      <c r="G413" s="146"/>
      <c r="H413" s="146"/>
      <c r="I413" s="146"/>
      <c r="J413" s="146"/>
      <c r="K413" s="146"/>
      <c r="L413" s="146"/>
      <c r="M413" s="146"/>
      <c r="N413" s="146"/>
      <c r="O413" s="146"/>
      <c r="P413" s="146"/>
      <c r="Q413" s="146"/>
      <c r="R413" s="146"/>
      <c r="S413" s="146"/>
      <c r="T413" s="146"/>
      <c r="U413" s="146"/>
      <c r="V413" s="146"/>
      <c r="W413" s="146"/>
      <c r="X413" s="146"/>
      <c r="Y413" s="146"/>
      <c r="Z413" s="146"/>
    </row>
    <row r="414" spans="1:26" ht="15.75" customHeight="1" x14ac:dyDescent="0.25">
      <c r="A414" s="146"/>
      <c r="B414" s="146"/>
      <c r="C414" s="146"/>
      <c r="D414" s="146"/>
      <c r="E414" s="146"/>
      <c r="F414" s="146"/>
      <c r="G414" s="146"/>
      <c r="H414" s="146"/>
      <c r="I414" s="146"/>
      <c r="J414" s="146"/>
      <c r="K414" s="146"/>
      <c r="L414" s="146"/>
      <c r="M414" s="146"/>
      <c r="N414" s="146"/>
      <c r="O414" s="146"/>
      <c r="P414" s="146"/>
      <c r="Q414" s="146"/>
      <c r="R414" s="146"/>
      <c r="S414" s="146"/>
      <c r="T414" s="146"/>
      <c r="U414" s="146"/>
      <c r="V414" s="146"/>
      <c r="W414" s="146"/>
      <c r="X414" s="146"/>
      <c r="Y414" s="146"/>
      <c r="Z414" s="146"/>
    </row>
    <row r="415" spans="1:26" ht="15.75" customHeight="1" x14ac:dyDescent="0.25">
      <c r="A415" s="146"/>
      <c r="B415" s="146"/>
      <c r="C415" s="146"/>
      <c r="D415" s="146"/>
      <c r="E415" s="146"/>
      <c r="F415" s="146"/>
      <c r="G415" s="146"/>
      <c r="H415" s="146"/>
      <c r="I415" s="146"/>
      <c r="J415" s="146"/>
      <c r="K415" s="146"/>
      <c r="L415" s="146"/>
      <c r="M415" s="146"/>
      <c r="N415" s="146"/>
      <c r="O415" s="146"/>
      <c r="P415" s="146"/>
      <c r="Q415" s="146"/>
      <c r="R415" s="146"/>
      <c r="S415" s="146"/>
      <c r="T415" s="146"/>
      <c r="U415" s="146"/>
      <c r="V415" s="146"/>
      <c r="W415" s="146"/>
      <c r="X415" s="146"/>
      <c r="Y415" s="146"/>
      <c r="Z415" s="146"/>
    </row>
    <row r="416" spans="1:26" ht="15.75" customHeight="1" x14ac:dyDescent="0.25">
      <c r="A416" s="146"/>
      <c r="B416" s="146"/>
      <c r="C416" s="146"/>
      <c r="D416" s="146"/>
      <c r="E416" s="146"/>
      <c r="F416" s="146"/>
      <c r="G416" s="146"/>
      <c r="H416" s="146"/>
      <c r="I416" s="146"/>
      <c r="J416" s="146"/>
      <c r="K416" s="146"/>
      <c r="L416" s="146"/>
      <c r="M416" s="146"/>
      <c r="N416" s="146"/>
      <c r="O416" s="146"/>
      <c r="P416" s="146"/>
      <c r="Q416" s="146"/>
      <c r="R416" s="146"/>
      <c r="S416" s="146"/>
      <c r="T416" s="146"/>
      <c r="U416" s="146"/>
      <c r="V416" s="146"/>
      <c r="W416" s="146"/>
      <c r="X416" s="146"/>
      <c r="Y416" s="146"/>
      <c r="Z416" s="146"/>
    </row>
    <row r="417" spans="1:26" ht="15.75" customHeight="1" x14ac:dyDescent="0.25">
      <c r="A417" s="146"/>
      <c r="B417" s="146"/>
      <c r="C417" s="146"/>
      <c r="D417" s="146"/>
      <c r="E417" s="146"/>
      <c r="F417" s="146"/>
      <c r="G417" s="146"/>
      <c r="H417" s="146"/>
      <c r="I417" s="146"/>
      <c r="J417" s="146"/>
      <c r="K417" s="146"/>
      <c r="L417" s="146"/>
      <c r="M417" s="146"/>
      <c r="N417" s="146"/>
      <c r="O417" s="146"/>
      <c r="P417" s="146"/>
      <c r="Q417" s="146"/>
      <c r="R417" s="146"/>
      <c r="S417" s="146"/>
      <c r="T417" s="146"/>
      <c r="U417" s="146"/>
      <c r="V417" s="146"/>
      <c r="W417" s="146"/>
      <c r="X417" s="146"/>
      <c r="Y417" s="146"/>
      <c r="Z417" s="146"/>
    </row>
    <row r="418" spans="1:26" ht="15.75" customHeight="1" x14ac:dyDescent="0.25">
      <c r="A418" s="146"/>
      <c r="B418" s="146"/>
      <c r="C418" s="146"/>
      <c r="D418" s="146"/>
      <c r="E418" s="146"/>
      <c r="F418" s="146"/>
      <c r="G418" s="146"/>
      <c r="H418" s="146"/>
      <c r="I418" s="146"/>
      <c r="J418" s="146"/>
      <c r="K418" s="146"/>
      <c r="L418" s="146"/>
      <c r="M418" s="146"/>
      <c r="N418" s="146"/>
      <c r="O418" s="146"/>
      <c r="P418" s="146"/>
      <c r="Q418" s="146"/>
      <c r="R418" s="146"/>
      <c r="S418" s="146"/>
      <c r="T418" s="146"/>
      <c r="U418" s="146"/>
      <c r="V418" s="146"/>
      <c r="W418" s="146"/>
      <c r="X418" s="146"/>
      <c r="Y418" s="146"/>
      <c r="Z418" s="146"/>
    </row>
    <row r="419" spans="1:26" ht="15.75" customHeight="1" x14ac:dyDescent="0.25">
      <c r="A419" s="146"/>
      <c r="B419" s="146"/>
      <c r="C419" s="146"/>
      <c r="D419" s="146"/>
      <c r="E419" s="146"/>
      <c r="F419" s="146"/>
      <c r="G419" s="146"/>
      <c r="H419" s="146"/>
      <c r="I419" s="146"/>
      <c r="J419" s="146"/>
      <c r="K419" s="146"/>
      <c r="L419" s="146"/>
      <c r="M419" s="146"/>
      <c r="N419" s="146"/>
      <c r="O419" s="146"/>
      <c r="P419" s="146"/>
      <c r="Q419" s="146"/>
      <c r="R419" s="146"/>
      <c r="S419" s="146"/>
      <c r="T419" s="146"/>
      <c r="U419" s="146"/>
      <c r="V419" s="146"/>
      <c r="W419" s="146"/>
      <c r="X419" s="146"/>
      <c r="Y419" s="146"/>
      <c r="Z419" s="146"/>
    </row>
    <row r="420" spans="1:26" ht="15.75" customHeight="1" x14ac:dyDescent="0.25">
      <c r="A420" s="146"/>
      <c r="B420" s="146"/>
      <c r="C420" s="146"/>
      <c r="D420" s="146"/>
      <c r="E420" s="146"/>
      <c r="F420" s="146"/>
      <c r="G420" s="146"/>
      <c r="H420" s="146"/>
      <c r="I420" s="146"/>
      <c r="J420" s="146"/>
      <c r="K420" s="146"/>
      <c r="L420" s="146"/>
      <c r="M420" s="146"/>
      <c r="N420" s="146"/>
      <c r="O420" s="146"/>
      <c r="P420" s="146"/>
      <c r="Q420" s="146"/>
      <c r="R420" s="146"/>
      <c r="S420" s="146"/>
      <c r="T420" s="146"/>
      <c r="U420" s="146"/>
      <c r="V420" s="146"/>
      <c r="W420" s="146"/>
      <c r="X420" s="146"/>
      <c r="Y420" s="146"/>
      <c r="Z420" s="146"/>
    </row>
    <row r="421" spans="1:26" ht="15.75" customHeight="1" x14ac:dyDescent="0.25">
      <c r="A421" s="146"/>
      <c r="B421" s="146"/>
      <c r="C421" s="146"/>
      <c r="D421" s="146"/>
      <c r="E421" s="146"/>
      <c r="F421" s="146"/>
      <c r="G421" s="146"/>
      <c r="H421" s="146"/>
      <c r="I421" s="146"/>
      <c r="J421" s="146"/>
      <c r="K421" s="146"/>
      <c r="L421" s="146"/>
      <c r="M421" s="146"/>
      <c r="N421" s="146"/>
      <c r="O421" s="146"/>
      <c r="P421" s="146"/>
      <c r="Q421" s="146"/>
      <c r="R421" s="146"/>
      <c r="S421" s="146"/>
      <c r="T421" s="146"/>
      <c r="U421" s="146"/>
      <c r="V421" s="146"/>
      <c r="W421" s="146"/>
      <c r="X421" s="146"/>
      <c r="Y421" s="146"/>
      <c r="Z421" s="146"/>
    </row>
    <row r="422" spans="1:26" ht="15.75" customHeight="1" x14ac:dyDescent="0.25">
      <c r="A422" s="146"/>
      <c r="B422" s="146"/>
      <c r="C422" s="146"/>
      <c r="D422" s="146"/>
      <c r="E422" s="146"/>
      <c r="F422" s="146"/>
      <c r="G422" s="146"/>
      <c r="H422" s="146"/>
      <c r="I422" s="146"/>
      <c r="J422" s="146"/>
      <c r="K422" s="146"/>
      <c r="L422" s="146"/>
      <c r="M422" s="146"/>
      <c r="N422" s="146"/>
      <c r="O422" s="146"/>
      <c r="P422" s="146"/>
      <c r="Q422" s="146"/>
      <c r="R422" s="146"/>
      <c r="S422" s="146"/>
      <c r="T422" s="146"/>
      <c r="U422" s="146"/>
      <c r="V422" s="146"/>
      <c r="W422" s="146"/>
      <c r="X422" s="146"/>
      <c r="Y422" s="146"/>
      <c r="Z422" s="146"/>
    </row>
    <row r="423" spans="1:26" ht="15.75" customHeight="1" x14ac:dyDescent="0.25">
      <c r="A423" s="146"/>
      <c r="B423" s="146"/>
      <c r="C423" s="146"/>
      <c r="D423" s="146"/>
      <c r="E423" s="146"/>
      <c r="F423" s="146"/>
      <c r="G423" s="146"/>
      <c r="H423" s="146"/>
      <c r="I423" s="146"/>
      <c r="J423" s="146"/>
      <c r="K423" s="146"/>
      <c r="L423" s="146"/>
      <c r="M423" s="146"/>
      <c r="N423" s="146"/>
      <c r="O423" s="146"/>
      <c r="P423" s="146"/>
      <c r="Q423" s="146"/>
      <c r="R423" s="146"/>
      <c r="S423" s="146"/>
      <c r="T423" s="146"/>
      <c r="U423" s="146"/>
      <c r="V423" s="146"/>
      <c r="W423" s="146"/>
      <c r="X423" s="146"/>
      <c r="Y423" s="146"/>
      <c r="Z423" s="146"/>
    </row>
    <row r="424" spans="1:26" ht="15.75" customHeight="1" x14ac:dyDescent="0.25">
      <c r="A424" s="146"/>
      <c r="B424" s="146"/>
      <c r="C424" s="146"/>
      <c r="D424" s="146"/>
      <c r="E424" s="146"/>
      <c r="F424" s="146"/>
      <c r="G424" s="146"/>
      <c r="H424" s="146"/>
      <c r="I424" s="146"/>
      <c r="J424" s="146"/>
      <c r="K424" s="146"/>
      <c r="L424" s="146"/>
      <c r="M424" s="146"/>
      <c r="N424" s="146"/>
      <c r="O424" s="146"/>
      <c r="P424" s="146"/>
      <c r="Q424" s="146"/>
      <c r="R424" s="146"/>
      <c r="S424" s="146"/>
      <c r="T424" s="146"/>
      <c r="U424" s="146"/>
      <c r="V424" s="146"/>
      <c r="W424" s="146"/>
      <c r="X424" s="146"/>
      <c r="Y424" s="146"/>
      <c r="Z424" s="146"/>
    </row>
    <row r="425" spans="1:26" ht="15.75" customHeight="1" x14ac:dyDescent="0.25">
      <c r="A425" s="146"/>
      <c r="B425" s="146"/>
      <c r="C425" s="146"/>
      <c r="D425" s="146"/>
      <c r="E425" s="146"/>
      <c r="F425" s="146"/>
      <c r="G425" s="146"/>
      <c r="H425" s="146"/>
      <c r="I425" s="146"/>
      <c r="J425" s="146"/>
      <c r="K425" s="146"/>
      <c r="L425" s="146"/>
      <c r="M425" s="146"/>
      <c r="N425" s="146"/>
      <c r="O425" s="146"/>
      <c r="P425" s="146"/>
      <c r="Q425" s="146"/>
      <c r="R425" s="146"/>
      <c r="S425" s="146"/>
      <c r="T425" s="146"/>
      <c r="U425" s="146"/>
      <c r="V425" s="146"/>
      <c r="W425" s="146"/>
      <c r="X425" s="146"/>
      <c r="Y425" s="146"/>
      <c r="Z425" s="146"/>
    </row>
    <row r="426" spans="1:26" ht="15.75" customHeight="1" x14ac:dyDescent="0.25">
      <c r="A426" s="146"/>
      <c r="B426" s="146"/>
      <c r="C426" s="146"/>
      <c r="D426" s="146"/>
      <c r="E426" s="146"/>
      <c r="F426" s="146"/>
      <c r="G426" s="146"/>
      <c r="H426" s="146"/>
      <c r="I426" s="146"/>
      <c r="J426" s="146"/>
      <c r="K426" s="146"/>
      <c r="L426" s="146"/>
      <c r="M426" s="146"/>
      <c r="N426" s="146"/>
      <c r="O426" s="146"/>
      <c r="P426" s="146"/>
      <c r="Q426" s="146"/>
      <c r="R426" s="146"/>
      <c r="S426" s="146"/>
      <c r="T426" s="146"/>
      <c r="U426" s="146"/>
      <c r="V426" s="146"/>
      <c r="W426" s="146"/>
      <c r="X426" s="146"/>
      <c r="Y426" s="146"/>
      <c r="Z426" s="146"/>
    </row>
    <row r="427" spans="1:26" ht="15.75" customHeight="1" x14ac:dyDescent="0.25">
      <c r="A427" s="146"/>
      <c r="B427" s="146"/>
      <c r="C427" s="146"/>
      <c r="D427" s="146"/>
      <c r="E427" s="146"/>
      <c r="F427" s="146"/>
      <c r="G427" s="146"/>
      <c r="H427" s="146"/>
      <c r="I427" s="146"/>
      <c r="J427" s="146"/>
      <c r="K427" s="146"/>
      <c r="L427" s="146"/>
      <c r="M427" s="146"/>
      <c r="N427" s="146"/>
      <c r="O427" s="146"/>
      <c r="P427" s="146"/>
      <c r="Q427" s="146"/>
      <c r="R427" s="146"/>
      <c r="S427" s="146"/>
      <c r="T427" s="146"/>
      <c r="U427" s="146"/>
      <c r="V427" s="146"/>
      <c r="W427" s="146"/>
      <c r="X427" s="146"/>
      <c r="Y427" s="146"/>
      <c r="Z427" s="146"/>
    </row>
    <row r="428" spans="1:26" ht="15.75" customHeight="1" x14ac:dyDescent="0.25">
      <c r="A428" s="146"/>
      <c r="B428" s="146"/>
      <c r="C428" s="146"/>
      <c r="D428" s="146"/>
      <c r="E428" s="146"/>
      <c r="F428" s="146"/>
      <c r="G428" s="146"/>
      <c r="H428" s="146"/>
      <c r="I428" s="146"/>
      <c r="J428" s="146"/>
      <c r="K428" s="146"/>
      <c r="L428" s="146"/>
      <c r="M428" s="146"/>
      <c r="N428" s="146"/>
      <c r="O428" s="146"/>
      <c r="P428" s="146"/>
      <c r="Q428" s="146"/>
      <c r="R428" s="146"/>
      <c r="S428" s="146"/>
      <c r="T428" s="146"/>
      <c r="U428" s="146"/>
      <c r="V428" s="146"/>
      <c r="W428" s="146"/>
      <c r="X428" s="146"/>
      <c r="Y428" s="146"/>
      <c r="Z428" s="146"/>
    </row>
    <row r="429" spans="1:26" ht="15.75" customHeight="1" x14ac:dyDescent="0.25">
      <c r="A429" s="146"/>
      <c r="B429" s="146"/>
      <c r="C429" s="146"/>
      <c r="D429" s="146"/>
      <c r="E429" s="146"/>
      <c r="F429" s="146"/>
      <c r="G429" s="146"/>
      <c r="H429" s="146"/>
      <c r="I429" s="146"/>
      <c r="J429" s="146"/>
      <c r="K429" s="146"/>
      <c r="L429" s="146"/>
      <c r="M429" s="146"/>
      <c r="N429" s="146"/>
      <c r="O429" s="146"/>
      <c r="P429" s="146"/>
      <c r="Q429" s="146"/>
      <c r="R429" s="146"/>
      <c r="S429" s="146"/>
      <c r="T429" s="146"/>
      <c r="U429" s="146"/>
      <c r="V429" s="146"/>
      <c r="W429" s="146"/>
      <c r="X429" s="146"/>
      <c r="Y429" s="146"/>
      <c r="Z429" s="146"/>
    </row>
    <row r="430" spans="1:26" ht="15.75" customHeight="1" x14ac:dyDescent="0.25">
      <c r="A430" s="146"/>
      <c r="B430" s="146"/>
      <c r="C430" s="146"/>
      <c r="D430" s="146"/>
      <c r="E430" s="146"/>
      <c r="F430" s="146"/>
      <c r="G430" s="146"/>
      <c r="H430" s="146"/>
      <c r="I430" s="146"/>
      <c r="J430" s="146"/>
      <c r="K430" s="146"/>
      <c r="L430" s="146"/>
      <c r="M430" s="146"/>
      <c r="N430" s="146"/>
      <c r="O430" s="146"/>
      <c r="P430" s="146"/>
      <c r="Q430" s="146"/>
      <c r="R430" s="146"/>
      <c r="S430" s="146"/>
      <c r="T430" s="146"/>
      <c r="U430" s="146"/>
      <c r="V430" s="146"/>
      <c r="W430" s="146"/>
      <c r="X430" s="146"/>
      <c r="Y430" s="146"/>
      <c r="Z430" s="146"/>
    </row>
    <row r="431" spans="1:26" ht="15.75" customHeight="1" x14ac:dyDescent="0.25">
      <c r="A431" s="146"/>
      <c r="B431" s="146"/>
      <c r="C431" s="146"/>
      <c r="D431" s="146"/>
      <c r="E431" s="146"/>
      <c r="F431" s="146"/>
      <c r="G431" s="146"/>
      <c r="H431" s="146"/>
      <c r="I431" s="146"/>
      <c r="J431" s="146"/>
      <c r="K431" s="146"/>
      <c r="L431" s="146"/>
      <c r="M431" s="146"/>
      <c r="N431" s="146"/>
      <c r="O431" s="146"/>
      <c r="P431" s="146"/>
      <c r="Q431" s="146"/>
      <c r="R431" s="146"/>
      <c r="S431" s="146"/>
      <c r="T431" s="146"/>
      <c r="U431" s="146"/>
      <c r="V431" s="146"/>
      <c r="W431" s="146"/>
      <c r="X431" s="146"/>
      <c r="Y431" s="146"/>
      <c r="Z431" s="146"/>
    </row>
    <row r="432" spans="1:26" ht="15.75" customHeight="1" x14ac:dyDescent="0.25">
      <c r="A432" s="146"/>
      <c r="B432" s="146"/>
      <c r="C432" s="146"/>
      <c r="D432" s="146"/>
      <c r="E432" s="146"/>
      <c r="F432" s="146"/>
      <c r="G432" s="146"/>
      <c r="H432" s="146"/>
      <c r="I432" s="146"/>
      <c r="J432" s="146"/>
      <c r="K432" s="146"/>
      <c r="L432" s="146"/>
      <c r="M432" s="146"/>
      <c r="N432" s="146"/>
      <c r="O432" s="146"/>
      <c r="P432" s="146"/>
      <c r="Q432" s="146"/>
      <c r="R432" s="146"/>
      <c r="S432" s="146"/>
      <c r="T432" s="146"/>
      <c r="U432" s="146"/>
      <c r="V432" s="146"/>
      <c r="W432" s="146"/>
      <c r="X432" s="146"/>
      <c r="Y432" s="146"/>
      <c r="Z432" s="146"/>
    </row>
    <row r="433" spans="1:26" ht="15.75" customHeight="1" x14ac:dyDescent="0.25">
      <c r="A433" s="146"/>
      <c r="B433" s="146"/>
      <c r="C433" s="146"/>
      <c r="D433" s="146"/>
      <c r="E433" s="146"/>
      <c r="F433" s="146"/>
      <c r="G433" s="146"/>
      <c r="H433" s="146"/>
      <c r="I433" s="146"/>
      <c r="J433" s="146"/>
      <c r="K433" s="146"/>
      <c r="L433" s="146"/>
      <c r="M433" s="146"/>
      <c r="N433" s="146"/>
      <c r="O433" s="146"/>
      <c r="P433" s="146"/>
      <c r="Q433" s="146"/>
      <c r="R433" s="146"/>
      <c r="S433" s="146"/>
      <c r="T433" s="146"/>
      <c r="U433" s="146"/>
      <c r="V433" s="146"/>
      <c r="W433" s="146"/>
      <c r="X433" s="146"/>
      <c r="Y433" s="146"/>
      <c r="Z433" s="146"/>
    </row>
    <row r="434" spans="1:26" ht="15.75" customHeight="1" x14ac:dyDescent="0.25">
      <c r="A434" s="146"/>
      <c r="B434" s="146"/>
      <c r="C434" s="146"/>
      <c r="D434" s="146"/>
      <c r="E434" s="146"/>
      <c r="F434" s="146"/>
      <c r="G434" s="146"/>
      <c r="H434" s="146"/>
      <c r="I434" s="146"/>
      <c r="J434" s="146"/>
      <c r="K434" s="146"/>
      <c r="L434" s="146"/>
      <c r="M434" s="146"/>
      <c r="N434" s="146"/>
      <c r="O434" s="146"/>
      <c r="P434" s="146"/>
      <c r="Q434" s="146"/>
      <c r="R434" s="146"/>
      <c r="S434" s="146"/>
      <c r="T434" s="146"/>
      <c r="U434" s="146"/>
      <c r="V434" s="146"/>
      <c r="W434" s="146"/>
      <c r="X434" s="146"/>
      <c r="Y434" s="146"/>
      <c r="Z434" s="146"/>
    </row>
    <row r="435" spans="1:26" ht="15.75" customHeight="1" x14ac:dyDescent="0.25">
      <c r="A435" s="146"/>
      <c r="B435" s="146"/>
      <c r="C435" s="146"/>
      <c r="D435" s="146"/>
      <c r="E435" s="146"/>
      <c r="F435" s="146"/>
      <c r="G435" s="146"/>
      <c r="H435" s="146"/>
      <c r="I435" s="146"/>
      <c r="J435" s="146"/>
      <c r="K435" s="146"/>
      <c r="L435" s="146"/>
      <c r="M435" s="146"/>
      <c r="N435" s="146"/>
      <c r="O435" s="146"/>
      <c r="P435" s="146"/>
      <c r="Q435" s="146"/>
      <c r="R435" s="146"/>
      <c r="S435" s="146"/>
      <c r="T435" s="146"/>
      <c r="U435" s="146"/>
      <c r="V435" s="146"/>
      <c r="W435" s="146"/>
      <c r="X435" s="146"/>
      <c r="Y435" s="146"/>
      <c r="Z435" s="146"/>
    </row>
    <row r="436" spans="1:26" ht="15.75" customHeight="1" x14ac:dyDescent="0.25">
      <c r="A436" s="146"/>
      <c r="B436" s="146"/>
      <c r="C436" s="146"/>
      <c r="D436" s="146"/>
      <c r="E436" s="146"/>
      <c r="F436" s="146"/>
      <c r="G436" s="146"/>
      <c r="H436" s="146"/>
      <c r="I436" s="146"/>
      <c r="J436" s="146"/>
      <c r="K436" s="146"/>
      <c r="L436" s="146"/>
      <c r="M436" s="146"/>
      <c r="N436" s="146"/>
      <c r="O436" s="146"/>
      <c r="P436" s="146"/>
      <c r="Q436" s="146"/>
      <c r="R436" s="146"/>
      <c r="S436" s="146"/>
      <c r="T436" s="146"/>
      <c r="U436" s="146"/>
      <c r="V436" s="146"/>
      <c r="W436" s="146"/>
      <c r="X436" s="146"/>
      <c r="Y436" s="146"/>
      <c r="Z436" s="146"/>
    </row>
    <row r="437" spans="1:26" ht="15.75" customHeight="1" x14ac:dyDescent="0.25">
      <c r="A437" s="146"/>
      <c r="B437" s="146"/>
      <c r="C437" s="146"/>
      <c r="D437" s="146"/>
      <c r="E437" s="146"/>
      <c r="F437" s="146"/>
      <c r="G437" s="146"/>
      <c r="H437" s="146"/>
      <c r="I437" s="146"/>
      <c r="J437" s="146"/>
      <c r="K437" s="146"/>
      <c r="L437" s="146"/>
      <c r="M437" s="146"/>
      <c r="N437" s="146"/>
      <c r="O437" s="146"/>
      <c r="P437" s="146"/>
      <c r="Q437" s="146"/>
      <c r="R437" s="146"/>
      <c r="S437" s="146"/>
      <c r="T437" s="146"/>
      <c r="U437" s="146"/>
      <c r="V437" s="146"/>
      <c r="W437" s="146"/>
      <c r="X437" s="146"/>
      <c r="Y437" s="146"/>
      <c r="Z437" s="146"/>
    </row>
    <row r="438" spans="1:26" ht="15.75" customHeight="1" x14ac:dyDescent="0.25">
      <c r="A438" s="146"/>
      <c r="B438" s="146"/>
      <c r="C438" s="146"/>
      <c r="D438" s="146"/>
      <c r="E438" s="146"/>
      <c r="F438" s="146"/>
      <c r="G438" s="146"/>
      <c r="H438" s="146"/>
      <c r="I438" s="146"/>
      <c r="J438" s="146"/>
      <c r="K438" s="146"/>
      <c r="L438" s="146"/>
      <c r="M438" s="146"/>
      <c r="N438" s="146"/>
      <c r="O438" s="146"/>
      <c r="P438" s="146"/>
      <c r="Q438" s="146"/>
      <c r="R438" s="146"/>
      <c r="S438" s="146"/>
      <c r="T438" s="146"/>
      <c r="U438" s="146"/>
      <c r="V438" s="146"/>
      <c r="W438" s="146"/>
      <c r="X438" s="146"/>
      <c r="Y438" s="146"/>
      <c r="Z438" s="146"/>
    </row>
    <row r="439" spans="1:26" ht="15.75" customHeight="1" x14ac:dyDescent="0.25">
      <c r="A439" s="146"/>
      <c r="B439" s="146"/>
      <c r="C439" s="146"/>
      <c r="D439" s="146"/>
      <c r="E439" s="146"/>
      <c r="F439" s="146"/>
      <c r="G439" s="146"/>
      <c r="H439" s="146"/>
      <c r="I439" s="146"/>
      <c r="J439" s="146"/>
      <c r="K439" s="146"/>
      <c r="L439" s="146"/>
      <c r="M439" s="146"/>
      <c r="N439" s="146"/>
      <c r="O439" s="146"/>
      <c r="P439" s="146"/>
      <c r="Q439" s="146"/>
      <c r="R439" s="146"/>
      <c r="S439" s="146"/>
      <c r="T439" s="146"/>
      <c r="U439" s="146"/>
      <c r="V439" s="146"/>
      <c r="W439" s="146"/>
      <c r="X439" s="146"/>
      <c r="Y439" s="146"/>
      <c r="Z439" s="146"/>
    </row>
    <row r="440" spans="1:26" ht="15.75" customHeight="1" x14ac:dyDescent="0.25">
      <c r="A440" s="146"/>
      <c r="B440" s="146"/>
      <c r="C440" s="146"/>
      <c r="D440" s="146"/>
      <c r="E440" s="146"/>
      <c r="F440" s="146"/>
      <c r="G440" s="146"/>
      <c r="H440" s="146"/>
      <c r="I440" s="146"/>
      <c r="J440" s="146"/>
      <c r="K440" s="146"/>
      <c r="L440" s="146"/>
      <c r="M440" s="146"/>
      <c r="N440" s="146"/>
      <c r="O440" s="146"/>
      <c r="P440" s="146"/>
      <c r="Q440" s="146"/>
      <c r="R440" s="146"/>
      <c r="S440" s="146"/>
      <c r="T440" s="146"/>
      <c r="U440" s="146"/>
      <c r="V440" s="146"/>
      <c r="W440" s="146"/>
      <c r="X440" s="146"/>
      <c r="Y440" s="146"/>
      <c r="Z440" s="146"/>
    </row>
    <row r="441" spans="1:26" ht="15.75" customHeight="1" x14ac:dyDescent="0.25">
      <c r="A441" s="146"/>
      <c r="B441" s="146"/>
      <c r="C441" s="146"/>
      <c r="D441" s="146"/>
      <c r="E441" s="146"/>
      <c r="F441" s="146"/>
      <c r="G441" s="146"/>
      <c r="H441" s="146"/>
      <c r="I441" s="146"/>
      <c r="J441" s="146"/>
      <c r="K441" s="146"/>
      <c r="L441" s="146"/>
      <c r="M441" s="146"/>
      <c r="N441" s="146"/>
      <c r="O441" s="146"/>
      <c r="P441" s="146"/>
      <c r="Q441" s="146"/>
      <c r="R441" s="146"/>
      <c r="S441" s="146"/>
      <c r="T441" s="146"/>
      <c r="U441" s="146"/>
      <c r="V441" s="146"/>
      <c r="W441" s="146"/>
      <c r="X441" s="146"/>
      <c r="Y441" s="146"/>
      <c r="Z441" s="146"/>
    </row>
    <row r="442" spans="1:26" ht="15.75" customHeight="1" x14ac:dyDescent="0.25">
      <c r="A442" s="146"/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146"/>
      <c r="M442" s="146"/>
      <c r="N442" s="146"/>
      <c r="O442" s="146"/>
      <c r="P442" s="146"/>
      <c r="Q442" s="146"/>
      <c r="R442" s="146"/>
      <c r="S442" s="146"/>
      <c r="T442" s="146"/>
      <c r="U442" s="146"/>
      <c r="V442" s="146"/>
      <c r="W442" s="146"/>
      <c r="X442" s="146"/>
      <c r="Y442" s="146"/>
      <c r="Z442" s="146"/>
    </row>
    <row r="443" spans="1:26" ht="15.75" customHeight="1" x14ac:dyDescent="0.25">
      <c r="A443" s="146"/>
      <c r="B443" s="146"/>
      <c r="C443" s="146"/>
      <c r="D443" s="146"/>
      <c r="E443" s="146"/>
      <c r="F443" s="146"/>
      <c r="G443" s="146"/>
      <c r="H443" s="146"/>
      <c r="I443" s="146"/>
      <c r="J443" s="146"/>
      <c r="K443" s="146"/>
      <c r="L443" s="146"/>
      <c r="M443" s="146"/>
      <c r="N443" s="146"/>
      <c r="O443" s="146"/>
      <c r="P443" s="146"/>
      <c r="Q443" s="146"/>
      <c r="R443" s="146"/>
      <c r="S443" s="146"/>
      <c r="T443" s="146"/>
      <c r="U443" s="146"/>
      <c r="V443" s="146"/>
      <c r="W443" s="146"/>
      <c r="X443" s="146"/>
      <c r="Y443" s="146"/>
      <c r="Z443" s="146"/>
    </row>
    <row r="444" spans="1:26" ht="15.75" customHeight="1" x14ac:dyDescent="0.25">
      <c r="A444" s="146"/>
      <c r="B444" s="146"/>
      <c r="C444" s="146"/>
      <c r="D444" s="146"/>
      <c r="E444" s="146"/>
      <c r="F444" s="146"/>
      <c r="G444" s="146"/>
      <c r="H444" s="146"/>
      <c r="I444" s="146"/>
      <c r="J444" s="146"/>
      <c r="K444" s="146"/>
      <c r="L444" s="146"/>
      <c r="M444" s="146"/>
      <c r="N444" s="146"/>
      <c r="O444" s="146"/>
      <c r="P444" s="146"/>
      <c r="Q444" s="146"/>
      <c r="R444" s="146"/>
      <c r="S444" s="146"/>
      <c r="T444" s="146"/>
      <c r="U444" s="146"/>
      <c r="V444" s="146"/>
      <c r="W444" s="146"/>
      <c r="X444" s="146"/>
      <c r="Y444" s="146"/>
      <c r="Z444" s="146"/>
    </row>
    <row r="445" spans="1:26" ht="15.75" customHeight="1" x14ac:dyDescent="0.25">
      <c r="A445" s="146"/>
      <c r="B445" s="146"/>
      <c r="C445" s="146"/>
      <c r="D445" s="146"/>
      <c r="E445" s="146"/>
      <c r="F445" s="146"/>
      <c r="G445" s="146"/>
      <c r="H445" s="146"/>
      <c r="I445" s="146"/>
      <c r="J445" s="146"/>
      <c r="K445" s="146"/>
      <c r="L445" s="146"/>
      <c r="M445" s="146"/>
      <c r="N445" s="146"/>
      <c r="O445" s="146"/>
      <c r="P445" s="146"/>
      <c r="Q445" s="146"/>
      <c r="R445" s="146"/>
      <c r="S445" s="146"/>
      <c r="T445" s="146"/>
      <c r="U445" s="146"/>
      <c r="V445" s="146"/>
      <c r="W445" s="146"/>
      <c r="X445" s="146"/>
      <c r="Y445" s="146"/>
      <c r="Z445" s="146"/>
    </row>
    <row r="446" spans="1:26" ht="15.75" customHeight="1" x14ac:dyDescent="0.25">
      <c r="A446" s="146"/>
      <c r="B446" s="146"/>
      <c r="C446" s="146"/>
      <c r="D446" s="146"/>
      <c r="E446" s="146"/>
      <c r="F446" s="146"/>
      <c r="G446" s="146"/>
      <c r="H446" s="146"/>
      <c r="I446" s="146"/>
      <c r="J446" s="146"/>
      <c r="K446" s="146"/>
      <c r="L446" s="146"/>
      <c r="M446" s="146"/>
      <c r="N446" s="146"/>
      <c r="O446" s="146"/>
      <c r="P446" s="146"/>
      <c r="Q446" s="146"/>
      <c r="R446" s="146"/>
      <c r="S446" s="146"/>
      <c r="T446" s="146"/>
      <c r="U446" s="146"/>
      <c r="V446" s="146"/>
      <c r="W446" s="146"/>
      <c r="X446" s="146"/>
      <c r="Y446" s="146"/>
      <c r="Z446" s="146"/>
    </row>
    <row r="447" spans="1:26" ht="15.75" customHeight="1" x14ac:dyDescent="0.25">
      <c r="A447" s="146"/>
      <c r="B447" s="146"/>
      <c r="C447" s="146"/>
      <c r="D447" s="146"/>
      <c r="E447" s="146"/>
      <c r="F447" s="146"/>
      <c r="G447" s="146"/>
      <c r="H447" s="146"/>
      <c r="I447" s="146"/>
      <c r="J447" s="146"/>
      <c r="K447" s="146"/>
      <c r="L447" s="146"/>
      <c r="M447" s="146"/>
      <c r="N447" s="146"/>
      <c r="O447" s="146"/>
      <c r="P447" s="146"/>
      <c r="Q447" s="146"/>
      <c r="R447" s="146"/>
      <c r="S447" s="146"/>
      <c r="T447" s="146"/>
      <c r="U447" s="146"/>
      <c r="V447" s="146"/>
      <c r="W447" s="146"/>
      <c r="X447" s="146"/>
      <c r="Y447" s="146"/>
      <c r="Z447" s="146"/>
    </row>
    <row r="448" spans="1:26" ht="15.75" customHeight="1" x14ac:dyDescent="0.25">
      <c r="A448" s="146"/>
      <c r="B448" s="146"/>
      <c r="C448" s="146"/>
      <c r="D448" s="146"/>
      <c r="E448" s="146"/>
      <c r="F448" s="146"/>
      <c r="G448" s="146"/>
      <c r="H448" s="146"/>
      <c r="I448" s="146"/>
      <c r="J448" s="146"/>
      <c r="K448" s="146"/>
      <c r="L448" s="146"/>
      <c r="M448" s="146"/>
      <c r="N448" s="146"/>
      <c r="O448" s="146"/>
      <c r="P448" s="146"/>
      <c r="Q448" s="146"/>
      <c r="R448" s="146"/>
      <c r="S448" s="146"/>
      <c r="T448" s="146"/>
      <c r="U448" s="146"/>
      <c r="V448" s="146"/>
      <c r="W448" s="146"/>
      <c r="X448" s="146"/>
      <c r="Y448" s="146"/>
      <c r="Z448" s="146"/>
    </row>
    <row r="449" spans="1:26" ht="15.75" customHeight="1" x14ac:dyDescent="0.25">
      <c r="A449" s="146"/>
      <c r="B449" s="146"/>
      <c r="C449" s="146"/>
      <c r="D449" s="146"/>
      <c r="E449" s="146"/>
      <c r="F449" s="146"/>
      <c r="G449" s="146"/>
      <c r="H449" s="146"/>
      <c r="I449" s="146"/>
      <c r="J449" s="146"/>
      <c r="K449" s="146"/>
      <c r="L449" s="146"/>
      <c r="M449" s="146"/>
      <c r="N449" s="146"/>
      <c r="O449" s="146"/>
      <c r="P449" s="146"/>
      <c r="Q449" s="146"/>
      <c r="R449" s="146"/>
      <c r="S449" s="146"/>
      <c r="T449" s="146"/>
      <c r="U449" s="146"/>
      <c r="V449" s="146"/>
      <c r="W449" s="146"/>
      <c r="X449" s="146"/>
      <c r="Y449" s="146"/>
      <c r="Z449" s="146"/>
    </row>
    <row r="450" spans="1:26" ht="15.75" customHeight="1" x14ac:dyDescent="0.25">
      <c r="A450" s="146"/>
      <c r="B450" s="146"/>
      <c r="C450" s="146"/>
      <c r="D450" s="146"/>
      <c r="E450" s="146"/>
      <c r="F450" s="146"/>
      <c r="G450" s="146"/>
      <c r="H450" s="146"/>
      <c r="I450" s="146"/>
      <c r="J450" s="146"/>
      <c r="K450" s="146"/>
      <c r="L450" s="146"/>
      <c r="M450" s="146"/>
      <c r="N450" s="146"/>
      <c r="O450" s="146"/>
      <c r="P450" s="146"/>
      <c r="Q450" s="146"/>
      <c r="R450" s="146"/>
      <c r="S450" s="146"/>
      <c r="T450" s="146"/>
      <c r="U450" s="146"/>
      <c r="V450" s="146"/>
      <c r="W450" s="146"/>
      <c r="X450" s="146"/>
      <c r="Y450" s="146"/>
      <c r="Z450" s="146"/>
    </row>
    <row r="451" spans="1:26" ht="15.75" customHeight="1" x14ac:dyDescent="0.25">
      <c r="A451" s="146"/>
      <c r="B451" s="146"/>
      <c r="C451" s="146"/>
      <c r="D451" s="146"/>
      <c r="E451" s="146"/>
      <c r="F451" s="146"/>
      <c r="G451" s="146"/>
      <c r="H451" s="146"/>
      <c r="I451" s="146"/>
      <c r="J451" s="146"/>
      <c r="K451" s="146"/>
      <c r="L451" s="146"/>
      <c r="M451" s="146"/>
      <c r="N451" s="146"/>
      <c r="O451" s="146"/>
      <c r="P451" s="146"/>
      <c r="Q451" s="146"/>
      <c r="R451" s="146"/>
      <c r="S451" s="146"/>
      <c r="T451" s="146"/>
      <c r="U451" s="146"/>
      <c r="V451" s="146"/>
      <c r="W451" s="146"/>
      <c r="X451" s="146"/>
      <c r="Y451" s="146"/>
      <c r="Z451" s="146"/>
    </row>
    <row r="452" spans="1:26" ht="15.75" customHeight="1" x14ac:dyDescent="0.25">
      <c r="A452" s="146"/>
      <c r="B452" s="146"/>
      <c r="C452" s="146"/>
      <c r="D452" s="146"/>
      <c r="E452" s="146"/>
      <c r="F452" s="146"/>
      <c r="G452" s="146"/>
      <c r="H452" s="146"/>
      <c r="I452" s="146"/>
      <c r="J452" s="146"/>
      <c r="K452" s="146"/>
      <c r="L452" s="146"/>
      <c r="M452" s="146"/>
      <c r="N452" s="146"/>
      <c r="O452" s="146"/>
      <c r="P452" s="146"/>
      <c r="Q452" s="146"/>
      <c r="R452" s="146"/>
      <c r="S452" s="146"/>
      <c r="T452" s="146"/>
      <c r="U452" s="146"/>
      <c r="V452" s="146"/>
      <c r="W452" s="146"/>
      <c r="X452" s="146"/>
      <c r="Y452" s="146"/>
      <c r="Z452" s="146"/>
    </row>
    <row r="453" spans="1:26" ht="15.75" customHeight="1" x14ac:dyDescent="0.25">
      <c r="A453" s="146"/>
      <c r="B453" s="146"/>
      <c r="C453" s="146"/>
      <c r="D453" s="146"/>
      <c r="E453" s="146"/>
      <c r="F453" s="146"/>
      <c r="G453" s="146"/>
      <c r="H453" s="146"/>
      <c r="I453" s="146"/>
      <c r="J453" s="146"/>
      <c r="K453" s="146"/>
      <c r="L453" s="146"/>
      <c r="M453" s="146"/>
      <c r="N453" s="146"/>
      <c r="O453" s="146"/>
      <c r="P453" s="146"/>
      <c r="Q453" s="146"/>
      <c r="R453" s="146"/>
      <c r="S453" s="146"/>
      <c r="T453" s="146"/>
      <c r="U453" s="146"/>
      <c r="V453" s="146"/>
      <c r="W453" s="146"/>
      <c r="X453" s="146"/>
      <c r="Y453" s="146"/>
      <c r="Z453" s="146"/>
    </row>
    <row r="454" spans="1:26" ht="15.75" customHeight="1" x14ac:dyDescent="0.25">
      <c r="A454" s="146"/>
      <c r="B454" s="146"/>
      <c r="C454" s="146"/>
      <c r="D454" s="146"/>
      <c r="E454" s="146"/>
      <c r="F454" s="146"/>
      <c r="G454" s="146"/>
      <c r="H454" s="146"/>
      <c r="I454" s="146"/>
      <c r="J454" s="146"/>
      <c r="K454" s="146"/>
      <c r="L454" s="146"/>
      <c r="M454" s="146"/>
      <c r="N454" s="146"/>
      <c r="O454" s="146"/>
      <c r="P454" s="146"/>
      <c r="Q454" s="146"/>
      <c r="R454" s="146"/>
      <c r="S454" s="146"/>
      <c r="T454" s="146"/>
      <c r="U454" s="146"/>
      <c r="V454" s="146"/>
      <c r="W454" s="146"/>
      <c r="X454" s="146"/>
      <c r="Y454" s="146"/>
      <c r="Z454" s="146"/>
    </row>
    <row r="455" spans="1:26" ht="15.75" customHeight="1" x14ac:dyDescent="0.25">
      <c r="A455" s="146"/>
      <c r="B455" s="146"/>
      <c r="C455" s="146"/>
      <c r="D455" s="146"/>
      <c r="E455" s="146"/>
      <c r="F455" s="146"/>
      <c r="G455" s="146"/>
      <c r="H455" s="146"/>
      <c r="I455" s="146"/>
      <c r="J455" s="146"/>
      <c r="K455" s="146"/>
      <c r="L455" s="146"/>
      <c r="M455" s="146"/>
      <c r="N455" s="146"/>
      <c r="O455" s="146"/>
      <c r="P455" s="146"/>
      <c r="Q455" s="146"/>
      <c r="R455" s="146"/>
      <c r="S455" s="146"/>
      <c r="T455" s="146"/>
      <c r="U455" s="146"/>
      <c r="V455" s="146"/>
      <c r="W455" s="146"/>
      <c r="X455" s="146"/>
      <c r="Y455" s="146"/>
      <c r="Z455" s="146"/>
    </row>
    <row r="456" spans="1:26" ht="15.75" customHeight="1" x14ac:dyDescent="0.25">
      <c r="A456" s="146"/>
      <c r="B456" s="146"/>
      <c r="C456" s="146"/>
      <c r="D456" s="146"/>
      <c r="E456" s="146"/>
      <c r="F456" s="146"/>
      <c r="G456" s="146"/>
      <c r="H456" s="146"/>
      <c r="I456" s="146"/>
      <c r="J456" s="146"/>
      <c r="K456" s="146"/>
      <c r="L456" s="146"/>
      <c r="M456" s="146"/>
      <c r="N456" s="146"/>
      <c r="O456" s="146"/>
      <c r="P456" s="146"/>
      <c r="Q456" s="146"/>
      <c r="R456" s="146"/>
      <c r="S456" s="146"/>
      <c r="T456" s="146"/>
      <c r="U456" s="146"/>
      <c r="V456" s="146"/>
      <c r="W456" s="146"/>
      <c r="X456" s="146"/>
      <c r="Y456" s="146"/>
      <c r="Z456" s="146"/>
    </row>
    <row r="457" spans="1:26" ht="15.75" customHeight="1" x14ac:dyDescent="0.25">
      <c r="A457" s="146"/>
      <c r="B457" s="146"/>
      <c r="C457" s="146"/>
      <c r="D457" s="146"/>
      <c r="E457" s="146"/>
      <c r="F457" s="146"/>
      <c r="G457" s="146"/>
      <c r="H457" s="146"/>
      <c r="I457" s="146"/>
      <c r="J457" s="146"/>
      <c r="K457" s="146"/>
      <c r="L457" s="146"/>
      <c r="M457" s="146"/>
      <c r="N457" s="146"/>
      <c r="O457" s="146"/>
      <c r="P457" s="146"/>
      <c r="Q457" s="146"/>
      <c r="R457" s="146"/>
      <c r="S457" s="146"/>
      <c r="T457" s="146"/>
      <c r="U457" s="146"/>
      <c r="V457" s="146"/>
      <c r="W457" s="146"/>
      <c r="X457" s="146"/>
      <c r="Y457" s="146"/>
      <c r="Z457" s="146"/>
    </row>
    <row r="458" spans="1:26" ht="15.75" customHeight="1" x14ac:dyDescent="0.25">
      <c r="A458" s="146"/>
      <c r="B458" s="146"/>
      <c r="C458" s="146"/>
      <c r="D458" s="146"/>
      <c r="E458" s="146"/>
      <c r="F458" s="146"/>
      <c r="G458" s="146"/>
      <c r="H458" s="146"/>
      <c r="I458" s="146"/>
      <c r="J458" s="146"/>
      <c r="K458" s="146"/>
      <c r="L458" s="146"/>
      <c r="M458" s="146"/>
      <c r="N458" s="146"/>
      <c r="O458" s="146"/>
      <c r="P458" s="146"/>
      <c r="Q458" s="146"/>
      <c r="R458" s="146"/>
      <c r="S458" s="146"/>
      <c r="T458" s="146"/>
      <c r="U458" s="146"/>
      <c r="V458" s="146"/>
      <c r="W458" s="146"/>
      <c r="X458" s="146"/>
      <c r="Y458" s="146"/>
      <c r="Z458" s="146"/>
    </row>
    <row r="459" spans="1:26" ht="15.75" customHeight="1" x14ac:dyDescent="0.25">
      <c r="A459" s="146"/>
      <c r="B459" s="146"/>
      <c r="C459" s="146"/>
      <c r="D459" s="146"/>
      <c r="E459" s="146"/>
      <c r="F459" s="146"/>
      <c r="G459" s="146"/>
      <c r="H459" s="146"/>
      <c r="I459" s="146"/>
      <c r="J459" s="146"/>
      <c r="K459" s="146"/>
      <c r="L459" s="146"/>
      <c r="M459" s="146"/>
      <c r="N459" s="146"/>
      <c r="O459" s="146"/>
      <c r="P459" s="146"/>
      <c r="Q459" s="146"/>
      <c r="R459" s="146"/>
      <c r="S459" s="146"/>
      <c r="T459" s="146"/>
      <c r="U459" s="146"/>
      <c r="V459" s="146"/>
      <c r="W459" s="146"/>
      <c r="X459" s="146"/>
      <c r="Y459" s="146"/>
      <c r="Z459" s="146"/>
    </row>
    <row r="460" spans="1:26" ht="15.75" customHeight="1" x14ac:dyDescent="0.25">
      <c r="A460" s="146"/>
      <c r="B460" s="146"/>
      <c r="C460" s="146"/>
      <c r="D460" s="146"/>
      <c r="E460" s="146"/>
      <c r="F460" s="146"/>
      <c r="G460" s="146"/>
      <c r="H460" s="146"/>
      <c r="I460" s="146"/>
      <c r="J460" s="146"/>
      <c r="K460" s="146"/>
      <c r="L460" s="146"/>
      <c r="M460" s="146"/>
      <c r="N460" s="146"/>
      <c r="O460" s="146"/>
      <c r="P460" s="146"/>
      <c r="Q460" s="146"/>
      <c r="R460" s="146"/>
      <c r="S460" s="146"/>
      <c r="T460" s="146"/>
      <c r="U460" s="146"/>
      <c r="V460" s="146"/>
      <c r="W460" s="146"/>
      <c r="X460" s="146"/>
      <c r="Y460" s="146"/>
      <c r="Z460" s="146"/>
    </row>
    <row r="461" spans="1:26" ht="15.75" customHeight="1" x14ac:dyDescent="0.25">
      <c r="A461" s="146"/>
      <c r="B461" s="146"/>
      <c r="C461" s="146"/>
      <c r="D461" s="146"/>
      <c r="E461" s="146"/>
      <c r="F461" s="146"/>
      <c r="G461" s="146"/>
      <c r="H461" s="146"/>
      <c r="I461" s="146"/>
      <c r="J461" s="146"/>
      <c r="K461" s="146"/>
      <c r="L461" s="146"/>
      <c r="M461" s="146"/>
      <c r="N461" s="146"/>
      <c r="O461" s="146"/>
      <c r="P461" s="146"/>
      <c r="Q461" s="146"/>
      <c r="R461" s="146"/>
      <c r="S461" s="146"/>
      <c r="T461" s="146"/>
      <c r="U461" s="146"/>
      <c r="V461" s="146"/>
      <c r="W461" s="146"/>
      <c r="X461" s="146"/>
      <c r="Y461" s="146"/>
      <c r="Z461" s="146"/>
    </row>
    <row r="462" spans="1:26" ht="15.75" customHeight="1" x14ac:dyDescent="0.25">
      <c r="A462" s="146"/>
      <c r="B462" s="146"/>
      <c r="C462" s="146"/>
      <c r="D462" s="146"/>
      <c r="E462" s="146"/>
      <c r="F462" s="146"/>
      <c r="G462" s="146"/>
      <c r="H462" s="146"/>
      <c r="I462" s="146"/>
      <c r="J462" s="146"/>
      <c r="K462" s="146"/>
      <c r="L462" s="146"/>
      <c r="M462" s="146"/>
      <c r="N462" s="146"/>
      <c r="O462" s="146"/>
      <c r="P462" s="146"/>
      <c r="Q462" s="146"/>
      <c r="R462" s="146"/>
      <c r="S462" s="146"/>
      <c r="T462" s="146"/>
      <c r="U462" s="146"/>
      <c r="V462" s="146"/>
      <c r="W462" s="146"/>
      <c r="X462" s="146"/>
      <c r="Y462" s="146"/>
      <c r="Z462" s="146"/>
    </row>
    <row r="463" spans="1:26" ht="15.75" customHeight="1" x14ac:dyDescent="0.25">
      <c r="A463" s="146"/>
      <c r="B463" s="146"/>
      <c r="C463" s="146"/>
      <c r="D463" s="146"/>
      <c r="E463" s="146"/>
      <c r="F463" s="146"/>
      <c r="G463" s="146"/>
      <c r="H463" s="146"/>
      <c r="I463" s="146"/>
      <c r="J463" s="146"/>
      <c r="K463" s="146"/>
      <c r="L463" s="146"/>
      <c r="M463" s="146"/>
      <c r="N463" s="146"/>
      <c r="O463" s="146"/>
      <c r="P463" s="146"/>
      <c r="Q463" s="146"/>
      <c r="R463" s="146"/>
      <c r="S463" s="146"/>
      <c r="T463" s="146"/>
      <c r="U463" s="146"/>
      <c r="V463" s="146"/>
      <c r="W463" s="146"/>
      <c r="X463" s="146"/>
      <c r="Y463" s="146"/>
      <c r="Z463" s="146"/>
    </row>
    <row r="464" spans="1:26" ht="15.75" customHeight="1" x14ac:dyDescent="0.25">
      <c r="A464" s="146"/>
      <c r="B464" s="146"/>
      <c r="C464" s="146"/>
      <c r="D464" s="146"/>
      <c r="E464" s="146"/>
      <c r="F464" s="146"/>
      <c r="G464" s="146"/>
      <c r="H464" s="146"/>
      <c r="I464" s="146"/>
      <c r="J464" s="146"/>
      <c r="K464" s="146"/>
      <c r="L464" s="146"/>
      <c r="M464" s="146"/>
      <c r="N464" s="146"/>
      <c r="O464" s="146"/>
      <c r="P464" s="146"/>
      <c r="Q464" s="146"/>
      <c r="R464" s="146"/>
      <c r="S464" s="146"/>
      <c r="T464" s="146"/>
      <c r="U464" s="146"/>
      <c r="V464" s="146"/>
      <c r="W464" s="146"/>
      <c r="X464" s="146"/>
      <c r="Y464" s="146"/>
      <c r="Z464" s="146"/>
    </row>
    <row r="465" spans="1:26" ht="15.75" customHeight="1" x14ac:dyDescent="0.25">
      <c r="A465" s="146"/>
      <c r="B465" s="146"/>
      <c r="C465" s="146"/>
      <c r="D465" s="146"/>
      <c r="E465" s="146"/>
      <c r="F465" s="146"/>
      <c r="G465" s="146"/>
      <c r="H465" s="146"/>
      <c r="I465" s="146"/>
      <c r="J465" s="146"/>
      <c r="K465" s="146"/>
      <c r="L465" s="146"/>
      <c r="M465" s="146"/>
      <c r="N465" s="146"/>
      <c r="O465" s="146"/>
      <c r="P465" s="146"/>
      <c r="Q465" s="146"/>
      <c r="R465" s="146"/>
      <c r="S465" s="146"/>
      <c r="T465" s="146"/>
      <c r="U465" s="146"/>
      <c r="V465" s="146"/>
      <c r="W465" s="146"/>
      <c r="X465" s="146"/>
      <c r="Y465" s="146"/>
      <c r="Z465" s="146"/>
    </row>
    <row r="466" spans="1:26" ht="15.75" customHeight="1" x14ac:dyDescent="0.25">
      <c r="A466" s="146"/>
      <c r="B466" s="146"/>
      <c r="C466" s="146"/>
      <c r="D466" s="146"/>
      <c r="E466" s="146"/>
      <c r="F466" s="146"/>
      <c r="G466" s="146"/>
      <c r="H466" s="146"/>
      <c r="I466" s="146"/>
      <c r="J466" s="146"/>
      <c r="K466" s="146"/>
      <c r="L466" s="146"/>
      <c r="M466" s="146"/>
      <c r="N466" s="146"/>
      <c r="O466" s="146"/>
      <c r="P466" s="146"/>
      <c r="Q466" s="146"/>
      <c r="R466" s="146"/>
      <c r="S466" s="146"/>
      <c r="T466" s="146"/>
      <c r="U466" s="146"/>
      <c r="V466" s="146"/>
      <c r="W466" s="146"/>
      <c r="X466" s="146"/>
      <c r="Y466" s="146"/>
      <c r="Z466" s="146"/>
    </row>
    <row r="467" spans="1:26" ht="15.75" customHeight="1" x14ac:dyDescent="0.25">
      <c r="A467" s="146"/>
      <c r="B467" s="146"/>
      <c r="C467" s="146"/>
      <c r="D467" s="146"/>
      <c r="E467" s="146"/>
      <c r="F467" s="146"/>
      <c r="G467" s="146"/>
      <c r="H467" s="146"/>
      <c r="I467" s="146"/>
      <c r="J467" s="146"/>
      <c r="K467" s="146"/>
      <c r="L467" s="146"/>
      <c r="M467" s="146"/>
      <c r="N467" s="146"/>
      <c r="O467" s="146"/>
      <c r="P467" s="146"/>
      <c r="Q467" s="146"/>
      <c r="R467" s="146"/>
      <c r="S467" s="146"/>
      <c r="T467" s="146"/>
      <c r="U467" s="146"/>
      <c r="V467" s="146"/>
      <c r="W467" s="146"/>
      <c r="X467" s="146"/>
      <c r="Y467" s="146"/>
      <c r="Z467" s="146"/>
    </row>
    <row r="468" spans="1:26" ht="15.75" customHeight="1" x14ac:dyDescent="0.25">
      <c r="A468" s="146"/>
      <c r="B468" s="146"/>
      <c r="C468" s="146"/>
      <c r="D468" s="146"/>
      <c r="E468" s="146"/>
      <c r="F468" s="146"/>
      <c r="G468" s="146"/>
      <c r="H468" s="146"/>
      <c r="I468" s="146"/>
      <c r="J468" s="146"/>
      <c r="K468" s="146"/>
      <c r="L468" s="146"/>
      <c r="M468" s="146"/>
      <c r="N468" s="146"/>
      <c r="O468" s="146"/>
      <c r="P468" s="146"/>
      <c r="Q468" s="146"/>
      <c r="R468" s="146"/>
      <c r="S468" s="146"/>
      <c r="T468" s="146"/>
      <c r="U468" s="146"/>
      <c r="V468" s="146"/>
      <c r="W468" s="146"/>
      <c r="X468" s="146"/>
      <c r="Y468" s="146"/>
      <c r="Z468" s="146"/>
    </row>
    <row r="469" spans="1:26" ht="15.75" customHeight="1" x14ac:dyDescent="0.25">
      <c r="A469" s="146"/>
      <c r="B469" s="146"/>
      <c r="C469" s="146"/>
      <c r="D469" s="146"/>
      <c r="E469" s="146"/>
      <c r="F469" s="146"/>
      <c r="G469" s="146"/>
      <c r="H469" s="146"/>
      <c r="I469" s="146"/>
      <c r="J469" s="146"/>
      <c r="K469" s="146"/>
      <c r="L469" s="146"/>
      <c r="M469" s="146"/>
      <c r="N469" s="146"/>
      <c r="O469" s="146"/>
      <c r="P469" s="146"/>
      <c r="Q469" s="146"/>
      <c r="R469" s="146"/>
      <c r="S469" s="146"/>
      <c r="T469" s="146"/>
      <c r="U469" s="146"/>
      <c r="V469" s="146"/>
      <c r="W469" s="146"/>
      <c r="X469" s="146"/>
      <c r="Y469" s="146"/>
      <c r="Z469" s="146"/>
    </row>
    <row r="470" spans="1:26" ht="15.75" customHeight="1" x14ac:dyDescent="0.25">
      <c r="A470" s="146"/>
      <c r="B470" s="146"/>
      <c r="C470" s="146"/>
      <c r="D470" s="146"/>
      <c r="E470" s="146"/>
      <c r="F470" s="146"/>
      <c r="G470" s="146"/>
      <c r="H470" s="146"/>
      <c r="I470" s="146"/>
      <c r="J470" s="146"/>
      <c r="K470" s="146"/>
      <c r="L470" s="146"/>
      <c r="M470" s="146"/>
      <c r="N470" s="146"/>
      <c r="O470" s="146"/>
      <c r="P470" s="146"/>
      <c r="Q470" s="146"/>
      <c r="R470" s="146"/>
      <c r="S470" s="146"/>
      <c r="T470" s="146"/>
      <c r="U470" s="146"/>
      <c r="V470" s="146"/>
      <c r="W470" s="146"/>
      <c r="X470" s="146"/>
      <c r="Y470" s="146"/>
      <c r="Z470" s="146"/>
    </row>
    <row r="471" spans="1:26" ht="15.75" customHeight="1" x14ac:dyDescent="0.25">
      <c r="A471" s="146"/>
      <c r="B471" s="146"/>
      <c r="C471" s="146"/>
      <c r="D471" s="146"/>
      <c r="E471" s="146"/>
      <c r="F471" s="146"/>
      <c r="G471" s="146"/>
      <c r="H471" s="146"/>
      <c r="I471" s="146"/>
      <c r="J471" s="146"/>
      <c r="K471" s="146"/>
      <c r="L471" s="146"/>
      <c r="M471" s="146"/>
      <c r="N471" s="146"/>
      <c r="O471" s="146"/>
      <c r="P471" s="146"/>
      <c r="Q471" s="146"/>
      <c r="R471" s="146"/>
      <c r="S471" s="146"/>
      <c r="T471" s="146"/>
      <c r="U471" s="146"/>
      <c r="V471" s="146"/>
      <c r="W471" s="146"/>
      <c r="X471" s="146"/>
      <c r="Y471" s="146"/>
      <c r="Z471" s="146"/>
    </row>
    <row r="472" spans="1:26" ht="15.75" customHeight="1" x14ac:dyDescent="0.25">
      <c r="A472" s="146"/>
      <c r="B472" s="146"/>
      <c r="C472" s="146"/>
      <c r="D472" s="146"/>
      <c r="E472" s="146"/>
      <c r="F472" s="146"/>
      <c r="G472" s="146"/>
      <c r="H472" s="146"/>
      <c r="I472" s="146"/>
      <c r="J472" s="146"/>
      <c r="K472" s="146"/>
      <c r="L472" s="146"/>
      <c r="M472" s="146"/>
      <c r="N472" s="146"/>
      <c r="O472" s="146"/>
      <c r="P472" s="146"/>
      <c r="Q472" s="146"/>
      <c r="R472" s="146"/>
      <c r="S472" s="146"/>
      <c r="T472" s="146"/>
      <c r="U472" s="146"/>
      <c r="V472" s="146"/>
      <c r="W472" s="146"/>
      <c r="X472" s="146"/>
      <c r="Y472" s="146"/>
      <c r="Z472" s="146"/>
    </row>
    <row r="473" spans="1:26" ht="15.75" customHeight="1" x14ac:dyDescent="0.25">
      <c r="A473" s="146"/>
      <c r="B473" s="146"/>
      <c r="C473" s="146"/>
      <c r="D473" s="146"/>
      <c r="E473" s="146"/>
      <c r="F473" s="146"/>
      <c r="G473" s="146"/>
      <c r="H473" s="146"/>
      <c r="I473" s="146"/>
      <c r="J473" s="146"/>
      <c r="K473" s="146"/>
      <c r="L473" s="146"/>
      <c r="M473" s="146"/>
      <c r="N473" s="146"/>
      <c r="O473" s="146"/>
      <c r="P473" s="146"/>
      <c r="Q473" s="146"/>
      <c r="R473" s="146"/>
      <c r="S473" s="146"/>
      <c r="T473" s="146"/>
      <c r="U473" s="146"/>
      <c r="V473" s="146"/>
      <c r="W473" s="146"/>
      <c r="X473" s="146"/>
      <c r="Y473" s="146"/>
      <c r="Z473" s="146"/>
    </row>
    <row r="474" spans="1:26" ht="15.75" customHeight="1" x14ac:dyDescent="0.25">
      <c r="A474" s="146"/>
      <c r="B474" s="146"/>
      <c r="C474" s="146"/>
      <c r="D474" s="146"/>
      <c r="E474" s="146"/>
      <c r="F474" s="146"/>
      <c r="G474" s="146"/>
      <c r="H474" s="146"/>
      <c r="I474" s="146"/>
      <c r="J474" s="146"/>
      <c r="K474" s="146"/>
      <c r="L474" s="146"/>
      <c r="M474" s="146"/>
      <c r="N474" s="146"/>
      <c r="O474" s="146"/>
      <c r="P474" s="146"/>
      <c r="Q474" s="146"/>
      <c r="R474" s="146"/>
      <c r="S474" s="146"/>
      <c r="T474" s="146"/>
      <c r="U474" s="146"/>
      <c r="V474" s="146"/>
      <c r="W474" s="146"/>
      <c r="X474" s="146"/>
      <c r="Y474" s="146"/>
      <c r="Z474" s="146"/>
    </row>
    <row r="475" spans="1:26" ht="15.75" customHeight="1" x14ac:dyDescent="0.25">
      <c r="A475" s="146"/>
      <c r="B475" s="146"/>
      <c r="C475" s="146"/>
      <c r="D475" s="146"/>
      <c r="E475" s="146"/>
      <c r="F475" s="146"/>
      <c r="G475" s="146"/>
      <c r="H475" s="146"/>
      <c r="I475" s="146"/>
      <c r="J475" s="146"/>
      <c r="K475" s="146"/>
      <c r="L475" s="146"/>
      <c r="M475" s="146"/>
      <c r="N475" s="146"/>
      <c r="O475" s="146"/>
      <c r="P475" s="146"/>
      <c r="Q475" s="146"/>
      <c r="R475" s="146"/>
      <c r="S475" s="146"/>
      <c r="T475" s="146"/>
      <c r="U475" s="146"/>
      <c r="V475" s="146"/>
      <c r="W475" s="146"/>
      <c r="X475" s="146"/>
      <c r="Y475" s="146"/>
      <c r="Z475" s="146"/>
    </row>
    <row r="476" spans="1:26" ht="15.75" customHeight="1" x14ac:dyDescent="0.25">
      <c r="A476" s="146"/>
      <c r="B476" s="146"/>
      <c r="C476" s="146"/>
      <c r="D476" s="146"/>
      <c r="E476" s="146"/>
      <c r="F476" s="146"/>
      <c r="G476" s="146"/>
      <c r="H476" s="146"/>
      <c r="I476" s="146"/>
      <c r="J476" s="146"/>
      <c r="K476" s="146"/>
      <c r="L476" s="146"/>
      <c r="M476" s="146"/>
      <c r="N476" s="146"/>
      <c r="O476" s="146"/>
      <c r="P476" s="146"/>
      <c r="Q476" s="146"/>
      <c r="R476" s="146"/>
      <c r="S476" s="146"/>
      <c r="T476" s="146"/>
      <c r="U476" s="146"/>
      <c r="V476" s="146"/>
      <c r="W476" s="146"/>
      <c r="X476" s="146"/>
      <c r="Y476" s="146"/>
      <c r="Z476" s="146"/>
    </row>
    <row r="477" spans="1:26" ht="15.75" customHeight="1" x14ac:dyDescent="0.25">
      <c r="A477" s="146"/>
      <c r="B477" s="146"/>
      <c r="C477" s="146"/>
      <c r="D477" s="146"/>
      <c r="E477" s="146"/>
      <c r="F477" s="146"/>
      <c r="G477" s="146"/>
      <c r="H477" s="146"/>
      <c r="I477" s="146"/>
      <c r="J477" s="146"/>
      <c r="K477" s="146"/>
      <c r="L477" s="146"/>
      <c r="M477" s="146"/>
      <c r="N477" s="146"/>
      <c r="O477" s="146"/>
      <c r="P477" s="146"/>
      <c r="Q477" s="146"/>
      <c r="R477" s="146"/>
      <c r="S477" s="146"/>
      <c r="T477" s="146"/>
      <c r="U477" s="146"/>
      <c r="V477" s="146"/>
      <c r="W477" s="146"/>
      <c r="X477" s="146"/>
      <c r="Y477" s="146"/>
      <c r="Z477" s="146"/>
    </row>
    <row r="478" spans="1:26" ht="15.75" customHeight="1" x14ac:dyDescent="0.25">
      <c r="A478" s="146"/>
      <c r="B478" s="146"/>
      <c r="C478" s="146"/>
      <c r="D478" s="146"/>
      <c r="E478" s="146"/>
      <c r="F478" s="146"/>
      <c r="G478" s="146"/>
      <c r="H478" s="146"/>
      <c r="I478" s="146"/>
      <c r="J478" s="146"/>
      <c r="K478" s="146"/>
      <c r="L478" s="146"/>
      <c r="M478" s="146"/>
      <c r="N478" s="146"/>
      <c r="O478" s="146"/>
      <c r="P478" s="146"/>
      <c r="Q478" s="146"/>
      <c r="R478" s="146"/>
      <c r="S478" s="146"/>
      <c r="T478" s="146"/>
      <c r="U478" s="146"/>
      <c r="V478" s="146"/>
      <c r="W478" s="146"/>
      <c r="X478" s="146"/>
      <c r="Y478" s="146"/>
      <c r="Z478" s="146"/>
    </row>
    <row r="479" spans="1:26" ht="15.75" customHeight="1" x14ac:dyDescent="0.25">
      <c r="A479" s="146"/>
      <c r="B479" s="146"/>
      <c r="C479" s="146"/>
      <c r="D479" s="146"/>
      <c r="E479" s="146"/>
      <c r="F479" s="146"/>
      <c r="G479" s="146"/>
      <c r="H479" s="146"/>
      <c r="I479" s="146"/>
      <c r="J479" s="146"/>
      <c r="K479" s="146"/>
      <c r="L479" s="146"/>
      <c r="M479" s="146"/>
      <c r="N479" s="146"/>
      <c r="O479" s="146"/>
      <c r="P479" s="146"/>
      <c r="Q479" s="146"/>
      <c r="R479" s="146"/>
      <c r="S479" s="146"/>
      <c r="T479" s="146"/>
      <c r="U479" s="146"/>
      <c r="V479" s="146"/>
      <c r="W479" s="146"/>
      <c r="X479" s="146"/>
      <c r="Y479" s="146"/>
      <c r="Z479" s="146"/>
    </row>
    <row r="480" spans="1:26" ht="15.75" customHeight="1" x14ac:dyDescent="0.25">
      <c r="A480" s="146"/>
      <c r="B480" s="146"/>
      <c r="C480" s="146"/>
      <c r="D480" s="146"/>
      <c r="E480" s="146"/>
      <c r="F480" s="146"/>
      <c r="G480" s="146"/>
      <c r="H480" s="146"/>
      <c r="I480" s="146"/>
      <c r="J480" s="146"/>
      <c r="K480" s="146"/>
      <c r="L480" s="146"/>
      <c r="M480" s="146"/>
      <c r="N480" s="146"/>
      <c r="O480" s="146"/>
      <c r="P480" s="146"/>
      <c r="Q480" s="146"/>
      <c r="R480" s="146"/>
      <c r="S480" s="146"/>
      <c r="T480" s="146"/>
      <c r="U480" s="146"/>
      <c r="V480" s="146"/>
      <c r="W480" s="146"/>
      <c r="X480" s="146"/>
      <c r="Y480" s="146"/>
      <c r="Z480" s="146"/>
    </row>
    <row r="481" spans="1:26" ht="15.75" customHeight="1" x14ac:dyDescent="0.25">
      <c r="A481" s="146"/>
      <c r="B481" s="146"/>
      <c r="C481" s="146"/>
      <c r="D481" s="146"/>
      <c r="E481" s="146"/>
      <c r="F481" s="146"/>
      <c r="G481" s="146"/>
      <c r="H481" s="146"/>
      <c r="I481" s="146"/>
      <c r="J481" s="146"/>
      <c r="K481" s="146"/>
      <c r="L481" s="146"/>
      <c r="M481" s="146"/>
      <c r="N481" s="146"/>
      <c r="O481" s="146"/>
      <c r="P481" s="146"/>
      <c r="Q481" s="146"/>
      <c r="R481" s="146"/>
      <c r="S481" s="146"/>
      <c r="T481" s="146"/>
      <c r="U481" s="146"/>
      <c r="V481" s="146"/>
      <c r="W481" s="146"/>
      <c r="X481" s="146"/>
      <c r="Y481" s="146"/>
      <c r="Z481" s="146"/>
    </row>
    <row r="482" spans="1:26" ht="15.75" customHeight="1" x14ac:dyDescent="0.25">
      <c r="A482" s="146"/>
      <c r="B482" s="146"/>
      <c r="C482" s="146"/>
      <c r="D482" s="146"/>
      <c r="E482" s="146"/>
      <c r="F482" s="146"/>
      <c r="G482" s="146"/>
      <c r="H482" s="146"/>
      <c r="I482" s="146"/>
      <c r="J482" s="146"/>
      <c r="K482" s="146"/>
      <c r="L482" s="146"/>
      <c r="M482" s="146"/>
      <c r="N482" s="146"/>
      <c r="O482" s="146"/>
      <c r="P482" s="146"/>
      <c r="Q482" s="146"/>
      <c r="R482" s="146"/>
      <c r="S482" s="146"/>
      <c r="T482" s="146"/>
      <c r="U482" s="146"/>
      <c r="V482" s="146"/>
      <c r="W482" s="146"/>
      <c r="X482" s="146"/>
      <c r="Y482" s="146"/>
      <c r="Z482" s="146"/>
    </row>
    <row r="483" spans="1:26" ht="15.75" customHeight="1" x14ac:dyDescent="0.25">
      <c r="A483" s="146"/>
      <c r="B483" s="146"/>
      <c r="C483" s="146"/>
      <c r="D483" s="146"/>
      <c r="E483" s="146"/>
      <c r="F483" s="146"/>
      <c r="G483" s="146"/>
      <c r="H483" s="146"/>
      <c r="I483" s="146"/>
      <c r="J483" s="146"/>
      <c r="K483" s="146"/>
      <c r="L483" s="146"/>
      <c r="M483" s="146"/>
      <c r="N483" s="146"/>
      <c r="O483" s="146"/>
      <c r="P483" s="146"/>
      <c r="Q483" s="146"/>
      <c r="R483" s="146"/>
      <c r="S483" s="146"/>
      <c r="T483" s="146"/>
      <c r="U483" s="146"/>
      <c r="V483" s="146"/>
      <c r="W483" s="146"/>
      <c r="X483" s="146"/>
      <c r="Y483" s="146"/>
      <c r="Z483" s="146"/>
    </row>
    <row r="484" spans="1:26" ht="15.75" customHeight="1" x14ac:dyDescent="0.25">
      <c r="A484" s="146"/>
      <c r="B484" s="146"/>
      <c r="C484" s="146"/>
      <c r="D484" s="146"/>
      <c r="E484" s="146"/>
      <c r="F484" s="146"/>
      <c r="G484" s="146"/>
      <c r="H484" s="146"/>
      <c r="I484" s="146"/>
      <c r="J484" s="146"/>
      <c r="K484" s="146"/>
      <c r="L484" s="146"/>
      <c r="M484" s="146"/>
      <c r="N484" s="146"/>
      <c r="O484" s="146"/>
      <c r="P484" s="146"/>
      <c r="Q484" s="146"/>
      <c r="R484" s="146"/>
      <c r="S484" s="146"/>
      <c r="T484" s="146"/>
      <c r="U484" s="146"/>
      <c r="V484" s="146"/>
      <c r="W484" s="146"/>
      <c r="X484" s="146"/>
      <c r="Y484" s="146"/>
      <c r="Z484" s="146"/>
    </row>
    <row r="485" spans="1:26" ht="15.75" customHeight="1" x14ac:dyDescent="0.25">
      <c r="A485" s="146"/>
      <c r="B485" s="146"/>
      <c r="C485" s="146"/>
      <c r="D485" s="146"/>
      <c r="E485" s="146"/>
      <c r="F485" s="146"/>
      <c r="G485" s="146"/>
      <c r="H485" s="146"/>
      <c r="I485" s="146"/>
      <c r="J485" s="146"/>
      <c r="K485" s="146"/>
      <c r="L485" s="146"/>
      <c r="M485" s="146"/>
      <c r="N485" s="146"/>
      <c r="O485" s="146"/>
      <c r="P485" s="146"/>
      <c r="Q485" s="146"/>
      <c r="R485" s="146"/>
      <c r="S485" s="146"/>
      <c r="T485" s="146"/>
      <c r="U485" s="146"/>
      <c r="V485" s="146"/>
      <c r="W485" s="146"/>
      <c r="X485" s="146"/>
      <c r="Y485" s="146"/>
      <c r="Z485" s="146"/>
    </row>
    <row r="486" spans="1:26" ht="15.75" customHeight="1" x14ac:dyDescent="0.25">
      <c r="A486" s="146"/>
      <c r="B486" s="146"/>
      <c r="C486" s="146"/>
      <c r="D486" s="146"/>
      <c r="E486" s="146"/>
      <c r="F486" s="146"/>
      <c r="G486" s="146"/>
      <c r="H486" s="146"/>
      <c r="I486" s="146"/>
      <c r="J486" s="146"/>
      <c r="K486" s="146"/>
      <c r="L486" s="146"/>
      <c r="M486" s="146"/>
      <c r="N486" s="146"/>
      <c r="O486" s="146"/>
      <c r="P486" s="146"/>
      <c r="Q486" s="146"/>
      <c r="R486" s="146"/>
      <c r="S486" s="146"/>
      <c r="T486" s="146"/>
      <c r="U486" s="146"/>
      <c r="V486" s="146"/>
      <c r="W486" s="146"/>
      <c r="X486" s="146"/>
      <c r="Y486" s="146"/>
      <c r="Z486" s="146"/>
    </row>
    <row r="487" spans="1:26" ht="15.75" customHeight="1" x14ac:dyDescent="0.25">
      <c r="A487" s="146"/>
      <c r="B487" s="146"/>
      <c r="C487" s="146"/>
      <c r="D487" s="146"/>
      <c r="E487" s="146"/>
      <c r="F487" s="146"/>
      <c r="G487" s="146"/>
      <c r="H487" s="146"/>
      <c r="I487" s="146"/>
      <c r="J487" s="146"/>
      <c r="K487" s="146"/>
      <c r="L487" s="146"/>
      <c r="M487" s="146"/>
      <c r="N487" s="146"/>
      <c r="O487" s="146"/>
      <c r="P487" s="146"/>
      <c r="Q487" s="146"/>
      <c r="R487" s="146"/>
      <c r="S487" s="146"/>
      <c r="T487" s="146"/>
      <c r="U487" s="146"/>
      <c r="V487" s="146"/>
      <c r="W487" s="146"/>
      <c r="X487" s="146"/>
      <c r="Y487" s="146"/>
      <c r="Z487" s="146"/>
    </row>
    <row r="488" spans="1:26" ht="15.75" customHeight="1" x14ac:dyDescent="0.25">
      <c r="A488" s="146"/>
      <c r="B488" s="146"/>
      <c r="C488" s="146"/>
      <c r="D488" s="146"/>
      <c r="E488" s="146"/>
      <c r="F488" s="146"/>
      <c r="G488" s="146"/>
      <c r="H488" s="146"/>
      <c r="I488" s="146"/>
      <c r="J488" s="146"/>
      <c r="K488" s="146"/>
      <c r="L488" s="146"/>
      <c r="M488" s="146"/>
      <c r="N488" s="146"/>
      <c r="O488" s="146"/>
      <c r="P488" s="146"/>
      <c r="Q488" s="146"/>
      <c r="R488" s="146"/>
      <c r="S488" s="146"/>
      <c r="T488" s="146"/>
      <c r="U488" s="146"/>
      <c r="V488" s="146"/>
      <c r="W488" s="146"/>
      <c r="X488" s="146"/>
      <c r="Y488" s="146"/>
      <c r="Z488" s="146"/>
    </row>
    <row r="489" spans="1:26" ht="15.75" customHeight="1" x14ac:dyDescent="0.25">
      <c r="A489" s="146"/>
      <c r="B489" s="146"/>
      <c r="C489" s="146"/>
      <c r="D489" s="146"/>
      <c r="E489" s="146"/>
      <c r="F489" s="146"/>
      <c r="G489" s="146"/>
      <c r="H489" s="146"/>
      <c r="I489" s="146"/>
      <c r="J489" s="146"/>
      <c r="K489" s="146"/>
      <c r="L489" s="146"/>
      <c r="M489" s="146"/>
      <c r="N489" s="146"/>
      <c r="O489" s="146"/>
      <c r="P489" s="146"/>
      <c r="Q489" s="146"/>
      <c r="R489" s="146"/>
      <c r="S489" s="146"/>
      <c r="T489" s="146"/>
      <c r="U489" s="146"/>
      <c r="V489" s="146"/>
      <c r="W489" s="146"/>
      <c r="X489" s="146"/>
      <c r="Y489" s="146"/>
      <c r="Z489" s="146"/>
    </row>
    <row r="490" spans="1:26" ht="15.75" customHeight="1" x14ac:dyDescent="0.25">
      <c r="A490" s="146"/>
      <c r="B490" s="146"/>
      <c r="C490" s="146"/>
      <c r="D490" s="146"/>
      <c r="E490" s="146"/>
      <c r="F490" s="146"/>
      <c r="G490" s="146"/>
      <c r="H490" s="146"/>
      <c r="I490" s="146"/>
      <c r="J490" s="146"/>
      <c r="K490" s="146"/>
      <c r="L490" s="146"/>
      <c r="M490" s="146"/>
      <c r="N490" s="146"/>
      <c r="O490" s="146"/>
      <c r="P490" s="146"/>
      <c r="Q490" s="146"/>
      <c r="R490" s="146"/>
      <c r="S490" s="146"/>
      <c r="T490" s="146"/>
      <c r="U490" s="146"/>
      <c r="V490" s="146"/>
      <c r="W490" s="146"/>
      <c r="X490" s="146"/>
      <c r="Y490" s="146"/>
      <c r="Z490" s="146"/>
    </row>
    <row r="491" spans="1:26" ht="15.75" customHeight="1" x14ac:dyDescent="0.25">
      <c r="A491" s="146"/>
      <c r="B491" s="146"/>
      <c r="C491" s="146"/>
      <c r="D491" s="146"/>
      <c r="E491" s="146"/>
      <c r="F491" s="146"/>
      <c r="G491" s="146"/>
      <c r="H491" s="146"/>
      <c r="I491" s="146"/>
      <c r="J491" s="146"/>
      <c r="K491" s="146"/>
      <c r="L491" s="146"/>
      <c r="M491" s="146"/>
      <c r="N491" s="146"/>
      <c r="O491" s="146"/>
      <c r="P491" s="146"/>
      <c r="Q491" s="146"/>
      <c r="R491" s="146"/>
      <c r="S491" s="146"/>
      <c r="T491" s="146"/>
      <c r="U491" s="146"/>
      <c r="V491" s="146"/>
      <c r="W491" s="146"/>
      <c r="X491" s="146"/>
      <c r="Y491" s="146"/>
      <c r="Z491" s="146"/>
    </row>
    <row r="492" spans="1:26" ht="15.75" customHeight="1" x14ac:dyDescent="0.25">
      <c r="A492" s="146"/>
      <c r="B492" s="146"/>
      <c r="C492" s="146"/>
      <c r="D492" s="146"/>
      <c r="E492" s="146"/>
      <c r="F492" s="146"/>
      <c r="G492" s="146"/>
      <c r="H492" s="146"/>
      <c r="I492" s="146"/>
      <c r="J492" s="146"/>
      <c r="K492" s="146"/>
      <c r="L492" s="146"/>
      <c r="M492" s="146"/>
      <c r="N492" s="146"/>
      <c r="O492" s="146"/>
      <c r="P492" s="146"/>
      <c r="Q492" s="146"/>
      <c r="R492" s="146"/>
      <c r="S492" s="146"/>
      <c r="T492" s="146"/>
      <c r="U492" s="146"/>
      <c r="V492" s="146"/>
      <c r="W492" s="146"/>
      <c r="X492" s="146"/>
      <c r="Y492" s="146"/>
      <c r="Z492" s="146"/>
    </row>
    <row r="493" spans="1:26" ht="15.75" customHeight="1" x14ac:dyDescent="0.25">
      <c r="A493" s="146"/>
      <c r="B493" s="146"/>
      <c r="C493" s="146"/>
      <c r="D493" s="146"/>
      <c r="E493" s="146"/>
      <c r="F493" s="146"/>
      <c r="G493" s="146"/>
      <c r="H493" s="146"/>
      <c r="I493" s="146"/>
      <c r="J493" s="146"/>
      <c r="K493" s="146"/>
      <c r="L493" s="146"/>
      <c r="M493" s="146"/>
      <c r="N493" s="146"/>
      <c r="O493" s="146"/>
      <c r="P493" s="146"/>
      <c r="Q493" s="146"/>
      <c r="R493" s="146"/>
      <c r="S493" s="146"/>
      <c r="T493" s="146"/>
      <c r="U493" s="146"/>
      <c r="V493" s="146"/>
      <c r="W493" s="146"/>
      <c r="X493" s="146"/>
      <c r="Y493" s="146"/>
      <c r="Z493" s="146"/>
    </row>
    <row r="494" spans="1:26" ht="15.75" customHeight="1" x14ac:dyDescent="0.25">
      <c r="A494" s="146"/>
      <c r="B494" s="146"/>
      <c r="C494" s="146"/>
      <c r="D494" s="146"/>
      <c r="E494" s="146"/>
      <c r="F494" s="146"/>
      <c r="G494" s="146"/>
      <c r="H494" s="146"/>
      <c r="I494" s="146"/>
      <c r="J494" s="146"/>
      <c r="K494" s="146"/>
      <c r="L494" s="146"/>
      <c r="M494" s="146"/>
      <c r="N494" s="146"/>
      <c r="O494" s="146"/>
      <c r="P494" s="146"/>
      <c r="Q494" s="146"/>
      <c r="R494" s="146"/>
      <c r="S494" s="146"/>
      <c r="T494" s="146"/>
      <c r="U494" s="146"/>
      <c r="V494" s="146"/>
      <c r="W494" s="146"/>
      <c r="X494" s="146"/>
      <c r="Y494" s="146"/>
      <c r="Z494" s="146"/>
    </row>
    <row r="495" spans="1:26" ht="15.75" customHeight="1" x14ac:dyDescent="0.25">
      <c r="A495" s="146"/>
      <c r="B495" s="146"/>
      <c r="C495" s="146"/>
      <c r="D495" s="146"/>
      <c r="E495" s="146"/>
      <c r="F495" s="146"/>
      <c r="G495" s="146"/>
      <c r="H495" s="146"/>
      <c r="I495" s="146"/>
      <c r="J495" s="146"/>
      <c r="K495" s="146"/>
      <c r="L495" s="146"/>
      <c r="M495" s="146"/>
      <c r="N495" s="146"/>
      <c r="O495" s="146"/>
      <c r="P495" s="146"/>
      <c r="Q495" s="146"/>
      <c r="R495" s="146"/>
      <c r="S495" s="146"/>
      <c r="T495" s="146"/>
      <c r="U495" s="146"/>
      <c r="V495" s="146"/>
      <c r="W495" s="146"/>
      <c r="X495" s="146"/>
      <c r="Y495" s="146"/>
      <c r="Z495" s="146"/>
    </row>
    <row r="496" spans="1:26" ht="15.75" customHeight="1" x14ac:dyDescent="0.25">
      <c r="A496" s="146"/>
      <c r="B496" s="146"/>
      <c r="C496" s="146"/>
      <c r="D496" s="146"/>
      <c r="E496" s="146"/>
      <c r="F496" s="146"/>
      <c r="G496" s="146"/>
      <c r="H496" s="146"/>
      <c r="I496" s="146"/>
      <c r="J496" s="146"/>
      <c r="K496" s="146"/>
      <c r="L496" s="146"/>
      <c r="M496" s="146"/>
      <c r="N496" s="146"/>
      <c r="O496" s="146"/>
      <c r="P496" s="146"/>
      <c r="Q496" s="146"/>
      <c r="R496" s="146"/>
      <c r="S496" s="146"/>
      <c r="T496" s="146"/>
      <c r="U496" s="146"/>
      <c r="V496" s="146"/>
      <c r="W496" s="146"/>
      <c r="X496" s="146"/>
      <c r="Y496" s="146"/>
      <c r="Z496" s="146"/>
    </row>
    <row r="497" spans="1:26" ht="15.75" customHeight="1" x14ac:dyDescent="0.25">
      <c r="A497" s="146"/>
      <c r="B497" s="146"/>
      <c r="C497" s="146"/>
      <c r="D497" s="146"/>
      <c r="E497" s="146"/>
      <c r="F497" s="146"/>
      <c r="G497" s="146"/>
      <c r="H497" s="146"/>
      <c r="I497" s="146"/>
      <c r="J497" s="146"/>
      <c r="K497" s="146"/>
      <c r="L497" s="146"/>
      <c r="M497" s="146"/>
      <c r="N497" s="146"/>
      <c r="O497" s="146"/>
      <c r="P497" s="146"/>
      <c r="Q497" s="146"/>
      <c r="R497" s="146"/>
      <c r="S497" s="146"/>
      <c r="T497" s="146"/>
      <c r="U497" s="146"/>
      <c r="V497" s="146"/>
      <c r="W497" s="146"/>
      <c r="X497" s="146"/>
      <c r="Y497" s="146"/>
      <c r="Z497" s="146"/>
    </row>
    <row r="498" spans="1:26" ht="15.75" customHeight="1" x14ac:dyDescent="0.25">
      <c r="A498" s="146"/>
      <c r="B498" s="146"/>
      <c r="C498" s="146"/>
      <c r="D498" s="146"/>
      <c r="E498" s="146"/>
      <c r="F498" s="146"/>
      <c r="G498" s="146"/>
      <c r="H498" s="146"/>
      <c r="I498" s="146"/>
      <c r="J498" s="146"/>
      <c r="K498" s="146"/>
      <c r="L498" s="146"/>
      <c r="M498" s="146"/>
      <c r="N498" s="146"/>
      <c r="O498" s="146"/>
      <c r="P498" s="146"/>
      <c r="Q498" s="146"/>
      <c r="R498" s="146"/>
      <c r="S498" s="146"/>
      <c r="T498" s="146"/>
      <c r="U498" s="146"/>
      <c r="V498" s="146"/>
      <c r="W498" s="146"/>
      <c r="X498" s="146"/>
      <c r="Y498" s="146"/>
      <c r="Z498" s="146"/>
    </row>
    <row r="499" spans="1:26" ht="15.75" customHeight="1" x14ac:dyDescent="0.25">
      <c r="A499" s="146"/>
      <c r="B499" s="146"/>
      <c r="C499" s="146"/>
      <c r="D499" s="146"/>
      <c r="E499" s="146"/>
      <c r="F499" s="146"/>
      <c r="G499" s="146"/>
      <c r="H499" s="146"/>
      <c r="I499" s="146"/>
      <c r="J499" s="146"/>
      <c r="K499" s="146"/>
      <c r="L499" s="146"/>
      <c r="M499" s="146"/>
      <c r="N499" s="146"/>
      <c r="O499" s="146"/>
      <c r="P499" s="146"/>
      <c r="Q499" s="146"/>
      <c r="R499" s="146"/>
      <c r="S499" s="146"/>
      <c r="T499" s="146"/>
      <c r="U499" s="146"/>
      <c r="V499" s="146"/>
      <c r="W499" s="146"/>
      <c r="X499" s="146"/>
      <c r="Y499" s="146"/>
      <c r="Z499" s="146"/>
    </row>
    <row r="500" spans="1:26" ht="15.75" customHeight="1" x14ac:dyDescent="0.25">
      <c r="A500" s="146"/>
      <c r="B500" s="146"/>
      <c r="C500" s="146"/>
      <c r="D500" s="146"/>
      <c r="E500" s="146"/>
      <c r="F500" s="146"/>
      <c r="G500" s="146"/>
      <c r="H500" s="146"/>
      <c r="I500" s="146"/>
      <c r="J500" s="146"/>
      <c r="K500" s="146"/>
      <c r="L500" s="146"/>
      <c r="M500" s="146"/>
      <c r="N500" s="146"/>
      <c r="O500" s="146"/>
      <c r="P500" s="146"/>
      <c r="Q500" s="146"/>
      <c r="R500" s="146"/>
      <c r="S500" s="146"/>
      <c r="T500" s="146"/>
      <c r="U500" s="146"/>
      <c r="V500" s="146"/>
      <c r="W500" s="146"/>
      <c r="X500" s="146"/>
      <c r="Y500" s="146"/>
      <c r="Z500" s="146"/>
    </row>
    <row r="501" spans="1:26" ht="15.75" customHeight="1" x14ac:dyDescent="0.25">
      <c r="A501" s="146"/>
      <c r="B501" s="146"/>
      <c r="C501" s="146"/>
      <c r="D501" s="146"/>
      <c r="E501" s="146"/>
      <c r="F501" s="146"/>
      <c r="G501" s="146"/>
      <c r="H501" s="146"/>
      <c r="I501" s="146"/>
      <c r="J501" s="146"/>
      <c r="K501" s="146"/>
      <c r="L501" s="146"/>
      <c r="M501" s="146"/>
      <c r="N501" s="146"/>
      <c r="O501" s="146"/>
      <c r="P501" s="146"/>
      <c r="Q501" s="146"/>
      <c r="R501" s="146"/>
      <c r="S501" s="146"/>
      <c r="T501" s="146"/>
      <c r="U501" s="146"/>
      <c r="V501" s="146"/>
      <c r="W501" s="146"/>
      <c r="X501" s="146"/>
      <c r="Y501" s="146"/>
      <c r="Z501" s="146"/>
    </row>
    <row r="502" spans="1:26" ht="15.75" customHeight="1" x14ac:dyDescent="0.25">
      <c r="A502" s="146"/>
      <c r="B502" s="146"/>
      <c r="C502" s="146"/>
      <c r="D502" s="146"/>
      <c r="E502" s="146"/>
      <c r="F502" s="146"/>
      <c r="G502" s="146"/>
      <c r="H502" s="146"/>
      <c r="I502" s="146"/>
      <c r="J502" s="146"/>
      <c r="K502" s="146"/>
      <c r="L502" s="146"/>
      <c r="M502" s="146"/>
      <c r="N502" s="146"/>
      <c r="O502" s="146"/>
      <c r="P502" s="146"/>
      <c r="Q502" s="146"/>
      <c r="R502" s="146"/>
      <c r="S502" s="146"/>
      <c r="T502" s="146"/>
      <c r="U502" s="146"/>
      <c r="V502" s="146"/>
      <c r="W502" s="146"/>
      <c r="X502" s="146"/>
      <c r="Y502" s="146"/>
      <c r="Z502" s="146"/>
    </row>
    <row r="503" spans="1:26" ht="15.75" customHeight="1" x14ac:dyDescent="0.25">
      <c r="A503" s="146"/>
      <c r="B503" s="146"/>
      <c r="C503" s="146"/>
      <c r="D503" s="146"/>
      <c r="E503" s="146"/>
      <c r="F503" s="146"/>
      <c r="G503" s="146"/>
      <c r="H503" s="146"/>
      <c r="I503" s="146"/>
      <c r="J503" s="146"/>
      <c r="K503" s="146"/>
      <c r="L503" s="146"/>
      <c r="M503" s="146"/>
      <c r="N503" s="146"/>
      <c r="O503" s="146"/>
      <c r="P503" s="146"/>
      <c r="Q503" s="146"/>
      <c r="R503" s="146"/>
      <c r="S503" s="146"/>
      <c r="T503" s="146"/>
      <c r="U503" s="146"/>
      <c r="V503" s="146"/>
      <c r="W503" s="146"/>
      <c r="X503" s="146"/>
      <c r="Y503" s="146"/>
      <c r="Z503" s="146"/>
    </row>
    <row r="504" spans="1:26" ht="15.75" customHeight="1" x14ac:dyDescent="0.25">
      <c r="A504" s="146"/>
      <c r="B504" s="146"/>
      <c r="C504" s="146"/>
      <c r="D504" s="146"/>
      <c r="E504" s="146"/>
      <c r="F504" s="146"/>
      <c r="G504" s="146"/>
      <c r="H504" s="146"/>
      <c r="I504" s="146"/>
      <c r="J504" s="146"/>
      <c r="K504" s="146"/>
      <c r="L504" s="146"/>
      <c r="M504" s="146"/>
      <c r="N504" s="146"/>
      <c r="O504" s="146"/>
      <c r="P504" s="146"/>
      <c r="Q504" s="146"/>
      <c r="R504" s="146"/>
      <c r="S504" s="146"/>
      <c r="T504" s="146"/>
      <c r="U504" s="146"/>
      <c r="V504" s="146"/>
      <c r="W504" s="146"/>
      <c r="X504" s="146"/>
      <c r="Y504" s="146"/>
      <c r="Z504" s="146"/>
    </row>
    <row r="505" spans="1:26" ht="15.75" customHeight="1" x14ac:dyDescent="0.25">
      <c r="A505" s="146"/>
      <c r="B505" s="146"/>
      <c r="C505" s="146"/>
      <c r="D505" s="146"/>
      <c r="E505" s="146"/>
      <c r="F505" s="146"/>
      <c r="G505" s="146"/>
      <c r="H505" s="146"/>
      <c r="I505" s="146"/>
      <c r="J505" s="146"/>
      <c r="K505" s="146"/>
      <c r="L505" s="146"/>
      <c r="M505" s="146"/>
      <c r="N505" s="146"/>
      <c r="O505" s="146"/>
      <c r="P505" s="146"/>
      <c r="Q505" s="146"/>
      <c r="R505" s="146"/>
      <c r="S505" s="146"/>
      <c r="T505" s="146"/>
      <c r="U505" s="146"/>
      <c r="V505" s="146"/>
      <c r="W505" s="146"/>
      <c r="X505" s="146"/>
      <c r="Y505" s="146"/>
      <c r="Z505" s="146"/>
    </row>
    <row r="506" spans="1:26" ht="15.75" customHeight="1" x14ac:dyDescent="0.25">
      <c r="A506" s="146"/>
      <c r="B506" s="146"/>
      <c r="C506" s="146"/>
      <c r="D506" s="146"/>
      <c r="E506" s="146"/>
      <c r="F506" s="146"/>
      <c r="G506" s="146"/>
      <c r="H506" s="146"/>
      <c r="I506" s="146"/>
      <c r="J506" s="146"/>
      <c r="K506" s="146"/>
      <c r="L506" s="146"/>
      <c r="M506" s="146"/>
      <c r="N506" s="146"/>
      <c r="O506" s="146"/>
      <c r="P506" s="146"/>
      <c r="Q506" s="146"/>
      <c r="R506" s="146"/>
      <c r="S506" s="146"/>
      <c r="T506" s="146"/>
      <c r="U506" s="146"/>
      <c r="V506" s="146"/>
      <c r="W506" s="146"/>
      <c r="X506" s="146"/>
      <c r="Y506" s="146"/>
      <c r="Z506" s="146"/>
    </row>
    <row r="507" spans="1:26" ht="15.75" customHeight="1" x14ac:dyDescent="0.25">
      <c r="A507" s="146"/>
      <c r="B507" s="146"/>
      <c r="C507" s="146"/>
      <c r="D507" s="146"/>
      <c r="E507" s="146"/>
      <c r="F507" s="146"/>
      <c r="G507" s="146"/>
      <c r="H507" s="146"/>
      <c r="I507" s="146"/>
      <c r="J507" s="146"/>
      <c r="K507" s="146"/>
      <c r="L507" s="146"/>
      <c r="M507" s="146"/>
      <c r="N507" s="146"/>
      <c r="O507" s="146"/>
      <c r="P507" s="146"/>
      <c r="Q507" s="146"/>
      <c r="R507" s="146"/>
      <c r="S507" s="146"/>
      <c r="T507" s="146"/>
      <c r="U507" s="146"/>
      <c r="V507" s="146"/>
      <c r="W507" s="146"/>
      <c r="X507" s="146"/>
      <c r="Y507" s="146"/>
      <c r="Z507" s="146"/>
    </row>
    <row r="508" spans="1:26" ht="15.75" customHeight="1" x14ac:dyDescent="0.25">
      <c r="A508" s="146"/>
      <c r="B508" s="146"/>
      <c r="C508" s="146"/>
      <c r="D508" s="146"/>
      <c r="E508" s="146"/>
      <c r="F508" s="146"/>
      <c r="G508" s="146"/>
      <c r="H508" s="146"/>
      <c r="I508" s="146"/>
      <c r="J508" s="146"/>
      <c r="K508" s="146"/>
      <c r="L508" s="146"/>
      <c r="M508" s="146"/>
      <c r="N508" s="146"/>
      <c r="O508" s="146"/>
      <c r="P508" s="146"/>
      <c r="Q508" s="146"/>
      <c r="R508" s="146"/>
      <c r="S508" s="146"/>
      <c r="T508" s="146"/>
      <c r="U508" s="146"/>
      <c r="V508" s="146"/>
      <c r="W508" s="146"/>
      <c r="X508" s="146"/>
      <c r="Y508" s="146"/>
      <c r="Z508" s="146"/>
    </row>
    <row r="509" spans="1:26" ht="15.75" customHeight="1" x14ac:dyDescent="0.25">
      <c r="A509" s="146"/>
      <c r="B509" s="146"/>
      <c r="C509" s="146"/>
      <c r="D509" s="146"/>
      <c r="E509" s="146"/>
      <c r="F509" s="146"/>
      <c r="G509" s="146"/>
      <c r="H509" s="146"/>
      <c r="I509" s="146"/>
      <c r="J509" s="146"/>
      <c r="K509" s="146"/>
      <c r="L509" s="146"/>
      <c r="M509" s="146"/>
      <c r="N509" s="146"/>
      <c r="O509" s="146"/>
      <c r="P509" s="146"/>
      <c r="Q509" s="146"/>
      <c r="R509" s="146"/>
      <c r="S509" s="146"/>
      <c r="T509" s="146"/>
      <c r="U509" s="146"/>
      <c r="V509" s="146"/>
      <c r="W509" s="146"/>
      <c r="X509" s="146"/>
      <c r="Y509" s="146"/>
      <c r="Z509" s="146"/>
    </row>
    <row r="510" spans="1:26" ht="15.75" customHeight="1" x14ac:dyDescent="0.25">
      <c r="A510" s="146"/>
      <c r="B510" s="146"/>
      <c r="C510" s="146"/>
      <c r="D510" s="146"/>
      <c r="E510" s="146"/>
      <c r="F510" s="146"/>
      <c r="G510" s="146"/>
      <c r="H510" s="146"/>
      <c r="I510" s="146"/>
      <c r="J510" s="146"/>
      <c r="K510" s="146"/>
      <c r="L510" s="146"/>
      <c r="M510" s="146"/>
      <c r="N510" s="146"/>
      <c r="O510" s="146"/>
      <c r="P510" s="146"/>
      <c r="Q510" s="146"/>
      <c r="R510" s="146"/>
      <c r="S510" s="146"/>
      <c r="T510" s="146"/>
      <c r="U510" s="146"/>
      <c r="V510" s="146"/>
      <c r="W510" s="146"/>
      <c r="X510" s="146"/>
      <c r="Y510" s="146"/>
      <c r="Z510" s="146"/>
    </row>
    <row r="511" spans="1:26" ht="15.75" customHeight="1" x14ac:dyDescent="0.25">
      <c r="A511" s="146"/>
      <c r="B511" s="146"/>
      <c r="C511" s="146"/>
      <c r="D511" s="146"/>
      <c r="E511" s="146"/>
      <c r="F511" s="146"/>
      <c r="G511" s="146"/>
      <c r="H511" s="146"/>
      <c r="I511" s="146"/>
      <c r="J511" s="146"/>
      <c r="K511" s="146"/>
      <c r="L511" s="146"/>
      <c r="M511" s="146"/>
      <c r="N511" s="146"/>
      <c r="O511" s="146"/>
      <c r="P511" s="146"/>
      <c r="Q511" s="146"/>
      <c r="R511" s="146"/>
      <c r="S511" s="146"/>
      <c r="T511" s="146"/>
      <c r="U511" s="146"/>
      <c r="V511" s="146"/>
      <c r="W511" s="146"/>
      <c r="X511" s="146"/>
      <c r="Y511" s="146"/>
      <c r="Z511" s="146"/>
    </row>
    <row r="512" spans="1:26" ht="15.75" customHeight="1" x14ac:dyDescent="0.25">
      <c r="A512" s="146"/>
      <c r="B512" s="146"/>
      <c r="C512" s="146"/>
      <c r="D512" s="146"/>
      <c r="E512" s="146"/>
      <c r="F512" s="146"/>
      <c r="G512" s="146"/>
      <c r="H512" s="146"/>
      <c r="I512" s="146"/>
      <c r="J512" s="146"/>
      <c r="K512" s="146"/>
      <c r="L512" s="146"/>
      <c r="M512" s="146"/>
      <c r="N512" s="146"/>
      <c r="O512" s="146"/>
      <c r="P512" s="146"/>
      <c r="Q512" s="146"/>
      <c r="R512" s="146"/>
      <c r="S512" s="146"/>
      <c r="T512" s="146"/>
      <c r="U512" s="146"/>
      <c r="V512" s="146"/>
      <c r="W512" s="146"/>
      <c r="X512" s="146"/>
      <c r="Y512" s="146"/>
      <c r="Z512" s="146"/>
    </row>
    <row r="513" spans="1:26" ht="15.75" customHeight="1" x14ac:dyDescent="0.25">
      <c r="A513" s="146"/>
      <c r="B513" s="146"/>
      <c r="C513" s="146"/>
      <c r="D513" s="146"/>
      <c r="E513" s="146"/>
      <c r="F513" s="146"/>
      <c r="G513" s="146"/>
      <c r="H513" s="146"/>
      <c r="I513" s="146"/>
      <c r="J513" s="146"/>
      <c r="K513" s="146"/>
      <c r="L513" s="146"/>
      <c r="M513" s="146"/>
      <c r="N513" s="146"/>
      <c r="O513" s="146"/>
      <c r="P513" s="146"/>
      <c r="Q513" s="146"/>
      <c r="R513" s="146"/>
      <c r="S513" s="146"/>
      <c r="T513" s="146"/>
      <c r="U513" s="146"/>
      <c r="V513" s="146"/>
      <c r="W513" s="146"/>
      <c r="X513" s="146"/>
      <c r="Y513" s="146"/>
      <c r="Z513" s="146"/>
    </row>
    <row r="514" spans="1:26" ht="15.75" customHeight="1" x14ac:dyDescent="0.25">
      <c r="A514" s="146"/>
      <c r="B514" s="146"/>
      <c r="C514" s="146"/>
      <c r="D514" s="146"/>
      <c r="E514" s="146"/>
      <c r="F514" s="146"/>
      <c r="G514" s="146"/>
      <c r="H514" s="146"/>
      <c r="I514" s="146"/>
      <c r="J514" s="146"/>
      <c r="K514" s="146"/>
      <c r="L514" s="146"/>
      <c r="M514" s="146"/>
      <c r="N514" s="146"/>
      <c r="O514" s="146"/>
      <c r="P514" s="146"/>
      <c r="Q514" s="146"/>
      <c r="R514" s="146"/>
      <c r="S514" s="146"/>
      <c r="T514" s="146"/>
      <c r="U514" s="146"/>
      <c r="V514" s="146"/>
      <c r="W514" s="146"/>
      <c r="X514" s="146"/>
      <c r="Y514" s="146"/>
      <c r="Z514" s="146"/>
    </row>
    <row r="515" spans="1:26" ht="15.75" customHeight="1" x14ac:dyDescent="0.25">
      <c r="A515" s="146"/>
      <c r="B515" s="146"/>
      <c r="C515" s="146"/>
      <c r="D515" s="146"/>
      <c r="E515" s="146"/>
      <c r="F515" s="146"/>
      <c r="G515" s="146"/>
      <c r="H515" s="146"/>
      <c r="I515" s="146"/>
      <c r="J515" s="146"/>
      <c r="K515" s="146"/>
      <c r="L515" s="146"/>
      <c r="M515" s="146"/>
      <c r="N515" s="146"/>
      <c r="O515" s="146"/>
      <c r="P515" s="146"/>
      <c r="Q515" s="146"/>
      <c r="R515" s="146"/>
      <c r="S515" s="146"/>
      <c r="T515" s="146"/>
      <c r="U515" s="146"/>
      <c r="V515" s="146"/>
      <c r="W515" s="146"/>
      <c r="X515" s="146"/>
      <c r="Y515" s="146"/>
      <c r="Z515" s="146"/>
    </row>
    <row r="516" spans="1:26" ht="15.75" customHeight="1" x14ac:dyDescent="0.25">
      <c r="A516" s="146"/>
      <c r="B516" s="146"/>
      <c r="C516" s="146"/>
      <c r="D516" s="146"/>
      <c r="E516" s="146"/>
      <c r="F516" s="146"/>
      <c r="G516" s="146"/>
      <c r="H516" s="146"/>
      <c r="I516" s="146"/>
      <c r="J516" s="146"/>
      <c r="K516" s="146"/>
      <c r="L516" s="146"/>
      <c r="M516" s="146"/>
      <c r="N516" s="146"/>
      <c r="O516" s="146"/>
      <c r="P516" s="146"/>
      <c r="Q516" s="146"/>
      <c r="R516" s="146"/>
      <c r="S516" s="146"/>
      <c r="T516" s="146"/>
      <c r="U516" s="146"/>
      <c r="V516" s="146"/>
      <c r="W516" s="146"/>
      <c r="X516" s="146"/>
      <c r="Y516" s="146"/>
      <c r="Z516" s="146"/>
    </row>
    <row r="517" spans="1:26" ht="15.75" customHeight="1" x14ac:dyDescent="0.25">
      <c r="A517" s="146"/>
      <c r="B517" s="146"/>
      <c r="C517" s="146"/>
      <c r="D517" s="146"/>
      <c r="E517" s="146"/>
      <c r="F517" s="146"/>
      <c r="G517" s="146"/>
      <c r="H517" s="146"/>
      <c r="I517" s="146"/>
      <c r="J517" s="146"/>
      <c r="K517" s="146"/>
      <c r="L517" s="146"/>
      <c r="M517" s="146"/>
      <c r="N517" s="146"/>
      <c r="O517" s="146"/>
      <c r="P517" s="146"/>
      <c r="Q517" s="146"/>
      <c r="R517" s="146"/>
      <c r="S517" s="146"/>
      <c r="T517" s="146"/>
      <c r="U517" s="146"/>
      <c r="V517" s="146"/>
      <c r="W517" s="146"/>
      <c r="X517" s="146"/>
      <c r="Y517" s="146"/>
      <c r="Z517" s="146"/>
    </row>
    <row r="518" spans="1:26" ht="15.75" customHeight="1" x14ac:dyDescent="0.25">
      <c r="A518" s="146"/>
      <c r="B518" s="146"/>
      <c r="C518" s="146"/>
      <c r="D518" s="146"/>
      <c r="E518" s="146"/>
      <c r="F518" s="146"/>
      <c r="G518" s="146"/>
      <c r="H518" s="146"/>
      <c r="I518" s="146"/>
      <c r="J518" s="146"/>
      <c r="K518" s="146"/>
      <c r="L518" s="146"/>
      <c r="M518" s="146"/>
      <c r="N518" s="146"/>
      <c r="O518" s="146"/>
      <c r="P518" s="146"/>
      <c r="Q518" s="146"/>
      <c r="R518" s="146"/>
      <c r="S518" s="146"/>
      <c r="T518" s="146"/>
      <c r="U518" s="146"/>
      <c r="V518" s="146"/>
      <c r="W518" s="146"/>
      <c r="X518" s="146"/>
      <c r="Y518" s="146"/>
      <c r="Z518" s="146"/>
    </row>
    <row r="519" spans="1:26" ht="15.75" customHeight="1" x14ac:dyDescent="0.25">
      <c r="A519" s="146"/>
      <c r="B519" s="146"/>
      <c r="C519" s="146"/>
      <c r="D519" s="146"/>
      <c r="E519" s="146"/>
      <c r="F519" s="146"/>
      <c r="G519" s="146"/>
      <c r="H519" s="146"/>
      <c r="I519" s="146"/>
      <c r="J519" s="146"/>
      <c r="K519" s="146"/>
      <c r="L519" s="146"/>
      <c r="M519" s="146"/>
      <c r="N519" s="146"/>
      <c r="O519" s="146"/>
      <c r="P519" s="146"/>
      <c r="Q519" s="146"/>
      <c r="R519" s="146"/>
      <c r="S519" s="146"/>
      <c r="T519" s="146"/>
      <c r="U519" s="146"/>
      <c r="V519" s="146"/>
      <c r="W519" s="146"/>
      <c r="X519" s="146"/>
      <c r="Y519" s="146"/>
      <c r="Z519" s="146"/>
    </row>
    <row r="520" spans="1:26" ht="15.75" customHeight="1" x14ac:dyDescent="0.25">
      <c r="A520" s="146"/>
      <c r="B520" s="146"/>
      <c r="C520" s="146"/>
      <c r="D520" s="146"/>
      <c r="E520" s="146"/>
      <c r="F520" s="146"/>
      <c r="G520" s="146"/>
      <c r="H520" s="146"/>
      <c r="I520" s="146"/>
      <c r="J520" s="146"/>
      <c r="K520" s="146"/>
      <c r="L520" s="146"/>
      <c r="M520" s="146"/>
      <c r="N520" s="146"/>
      <c r="O520" s="146"/>
      <c r="P520" s="146"/>
      <c r="Q520" s="146"/>
      <c r="R520" s="146"/>
      <c r="S520" s="146"/>
      <c r="T520" s="146"/>
      <c r="U520" s="146"/>
      <c r="V520" s="146"/>
      <c r="W520" s="146"/>
      <c r="X520" s="146"/>
      <c r="Y520" s="146"/>
      <c r="Z520" s="146"/>
    </row>
    <row r="521" spans="1:26" ht="15.75" customHeight="1" x14ac:dyDescent="0.25">
      <c r="A521" s="146"/>
      <c r="B521" s="146"/>
      <c r="C521" s="146"/>
      <c r="D521" s="146"/>
      <c r="E521" s="146"/>
      <c r="F521" s="146"/>
      <c r="G521" s="146"/>
      <c r="H521" s="146"/>
      <c r="I521" s="146"/>
      <c r="J521" s="146"/>
      <c r="K521" s="146"/>
      <c r="L521" s="146"/>
      <c r="M521" s="146"/>
      <c r="N521" s="146"/>
      <c r="O521" s="146"/>
      <c r="P521" s="146"/>
      <c r="Q521" s="146"/>
      <c r="R521" s="146"/>
      <c r="S521" s="146"/>
      <c r="T521" s="146"/>
      <c r="U521" s="146"/>
      <c r="V521" s="146"/>
      <c r="W521" s="146"/>
      <c r="X521" s="146"/>
      <c r="Y521" s="146"/>
      <c r="Z521" s="146"/>
    </row>
    <row r="522" spans="1:26" ht="15.75" customHeight="1" x14ac:dyDescent="0.25">
      <c r="A522" s="146"/>
      <c r="B522" s="146"/>
      <c r="C522" s="146"/>
      <c r="D522" s="146"/>
      <c r="E522" s="146"/>
      <c r="F522" s="146"/>
      <c r="G522" s="146"/>
      <c r="H522" s="146"/>
      <c r="I522" s="146"/>
      <c r="J522" s="146"/>
      <c r="K522" s="146"/>
      <c r="L522" s="146"/>
      <c r="M522" s="146"/>
      <c r="N522" s="146"/>
      <c r="O522" s="146"/>
      <c r="P522" s="146"/>
      <c r="Q522" s="146"/>
      <c r="R522" s="146"/>
      <c r="S522" s="146"/>
      <c r="T522" s="146"/>
      <c r="U522" s="146"/>
      <c r="V522" s="146"/>
      <c r="W522" s="146"/>
      <c r="X522" s="146"/>
      <c r="Y522" s="146"/>
      <c r="Z522" s="146"/>
    </row>
    <row r="523" spans="1:26" ht="15.75" customHeight="1" x14ac:dyDescent="0.25">
      <c r="A523" s="146"/>
      <c r="B523" s="146"/>
      <c r="C523" s="146"/>
      <c r="D523" s="146"/>
      <c r="E523" s="146"/>
      <c r="F523" s="146"/>
      <c r="G523" s="146"/>
      <c r="H523" s="146"/>
      <c r="I523" s="146"/>
      <c r="J523" s="146"/>
      <c r="K523" s="146"/>
      <c r="L523" s="146"/>
      <c r="M523" s="146"/>
      <c r="N523" s="146"/>
      <c r="O523" s="146"/>
      <c r="P523" s="146"/>
      <c r="Q523" s="146"/>
      <c r="R523" s="146"/>
      <c r="S523" s="146"/>
      <c r="T523" s="146"/>
      <c r="U523" s="146"/>
      <c r="V523" s="146"/>
      <c r="W523" s="146"/>
      <c r="X523" s="146"/>
      <c r="Y523" s="146"/>
      <c r="Z523" s="146"/>
    </row>
    <row r="524" spans="1:26" ht="15.75" customHeight="1" x14ac:dyDescent="0.25">
      <c r="A524" s="146"/>
      <c r="B524" s="146"/>
      <c r="C524" s="146"/>
      <c r="D524" s="146"/>
      <c r="E524" s="146"/>
      <c r="F524" s="146"/>
      <c r="G524" s="146"/>
      <c r="H524" s="146"/>
      <c r="I524" s="146"/>
      <c r="J524" s="146"/>
      <c r="K524" s="146"/>
      <c r="L524" s="146"/>
      <c r="M524" s="146"/>
      <c r="N524" s="146"/>
      <c r="O524" s="146"/>
      <c r="P524" s="146"/>
      <c r="Q524" s="146"/>
      <c r="R524" s="146"/>
      <c r="S524" s="146"/>
      <c r="T524" s="146"/>
      <c r="U524" s="146"/>
      <c r="V524" s="146"/>
      <c r="W524" s="146"/>
      <c r="X524" s="146"/>
      <c r="Y524" s="146"/>
      <c r="Z524" s="146"/>
    </row>
    <row r="525" spans="1:26" ht="15.75" customHeight="1" x14ac:dyDescent="0.25">
      <c r="A525" s="146"/>
      <c r="B525" s="146"/>
      <c r="C525" s="146"/>
      <c r="D525" s="146"/>
      <c r="E525" s="146"/>
      <c r="F525" s="146"/>
      <c r="G525" s="146"/>
      <c r="H525" s="146"/>
      <c r="I525" s="146"/>
      <c r="J525" s="146"/>
      <c r="K525" s="146"/>
      <c r="L525" s="146"/>
      <c r="M525" s="146"/>
      <c r="N525" s="146"/>
      <c r="O525" s="146"/>
      <c r="P525" s="146"/>
      <c r="Q525" s="146"/>
      <c r="R525" s="146"/>
      <c r="S525" s="146"/>
      <c r="T525" s="146"/>
      <c r="U525" s="146"/>
      <c r="V525" s="146"/>
      <c r="W525" s="146"/>
      <c r="X525" s="146"/>
      <c r="Y525" s="146"/>
      <c r="Z525" s="146"/>
    </row>
    <row r="526" spans="1:26" ht="15.75" customHeight="1" x14ac:dyDescent="0.25">
      <c r="A526" s="146"/>
      <c r="B526" s="146"/>
      <c r="C526" s="146"/>
      <c r="D526" s="146"/>
      <c r="E526" s="146"/>
      <c r="F526" s="146"/>
      <c r="G526" s="146"/>
      <c r="H526" s="146"/>
      <c r="I526" s="146"/>
      <c r="J526" s="146"/>
      <c r="K526" s="146"/>
      <c r="L526" s="146"/>
      <c r="M526" s="146"/>
      <c r="N526" s="146"/>
      <c r="O526" s="146"/>
      <c r="P526" s="146"/>
      <c r="Q526" s="146"/>
      <c r="R526" s="146"/>
      <c r="S526" s="146"/>
      <c r="T526" s="146"/>
      <c r="U526" s="146"/>
      <c r="V526" s="146"/>
      <c r="W526" s="146"/>
      <c r="X526" s="146"/>
      <c r="Y526" s="146"/>
      <c r="Z526" s="146"/>
    </row>
    <row r="527" spans="1:26" ht="15.75" customHeight="1" x14ac:dyDescent="0.25">
      <c r="A527" s="146"/>
      <c r="B527" s="146"/>
      <c r="C527" s="146"/>
      <c r="D527" s="146"/>
      <c r="E527" s="146"/>
      <c r="F527" s="146"/>
      <c r="G527" s="146"/>
      <c r="H527" s="146"/>
      <c r="I527" s="146"/>
      <c r="J527" s="146"/>
      <c r="K527" s="146"/>
      <c r="L527" s="146"/>
      <c r="M527" s="146"/>
      <c r="N527" s="146"/>
      <c r="O527" s="146"/>
      <c r="P527" s="146"/>
      <c r="Q527" s="146"/>
      <c r="R527" s="146"/>
      <c r="S527" s="146"/>
      <c r="T527" s="146"/>
      <c r="U527" s="146"/>
      <c r="V527" s="146"/>
      <c r="W527" s="146"/>
      <c r="X527" s="146"/>
      <c r="Y527" s="146"/>
      <c r="Z527" s="146"/>
    </row>
    <row r="528" spans="1:26" ht="15.75" customHeight="1" x14ac:dyDescent="0.25">
      <c r="A528" s="146"/>
      <c r="B528" s="146"/>
      <c r="C528" s="146"/>
      <c r="D528" s="146"/>
      <c r="E528" s="146"/>
      <c r="F528" s="146"/>
      <c r="G528" s="146"/>
      <c r="H528" s="146"/>
      <c r="I528" s="146"/>
      <c r="J528" s="146"/>
      <c r="K528" s="146"/>
      <c r="L528" s="146"/>
      <c r="M528" s="146"/>
      <c r="N528" s="146"/>
      <c r="O528" s="146"/>
      <c r="P528" s="146"/>
      <c r="Q528" s="146"/>
      <c r="R528" s="146"/>
      <c r="S528" s="146"/>
      <c r="T528" s="146"/>
      <c r="U528" s="146"/>
      <c r="V528" s="146"/>
      <c r="W528" s="146"/>
      <c r="X528" s="146"/>
      <c r="Y528" s="146"/>
      <c r="Z528" s="146"/>
    </row>
    <row r="529" spans="1:26" ht="15.75" customHeight="1" x14ac:dyDescent="0.25">
      <c r="A529" s="146"/>
      <c r="B529" s="146"/>
      <c r="C529" s="146"/>
      <c r="D529" s="146"/>
      <c r="E529" s="146"/>
      <c r="F529" s="146"/>
      <c r="G529" s="146"/>
      <c r="H529" s="146"/>
      <c r="I529" s="146"/>
      <c r="J529" s="146"/>
      <c r="K529" s="146"/>
      <c r="L529" s="146"/>
      <c r="M529" s="146"/>
      <c r="N529" s="146"/>
      <c r="O529" s="146"/>
      <c r="P529" s="146"/>
      <c r="Q529" s="146"/>
      <c r="R529" s="146"/>
      <c r="S529" s="146"/>
      <c r="T529" s="146"/>
      <c r="U529" s="146"/>
      <c r="V529" s="146"/>
      <c r="W529" s="146"/>
      <c r="X529" s="146"/>
      <c r="Y529" s="146"/>
      <c r="Z529" s="146"/>
    </row>
    <row r="530" spans="1:26" ht="15.75" customHeight="1" x14ac:dyDescent="0.25">
      <c r="A530" s="146"/>
      <c r="B530" s="146"/>
      <c r="C530" s="146"/>
      <c r="D530" s="146"/>
      <c r="E530" s="146"/>
      <c r="F530" s="146"/>
      <c r="G530" s="146"/>
      <c r="H530" s="146"/>
      <c r="I530" s="146"/>
      <c r="J530" s="146"/>
      <c r="K530" s="146"/>
      <c r="L530" s="146"/>
      <c r="M530" s="146"/>
      <c r="N530" s="146"/>
      <c r="O530" s="146"/>
      <c r="P530" s="146"/>
      <c r="Q530" s="146"/>
      <c r="R530" s="146"/>
      <c r="S530" s="146"/>
      <c r="T530" s="146"/>
      <c r="U530" s="146"/>
      <c r="V530" s="146"/>
      <c r="W530" s="146"/>
      <c r="X530" s="146"/>
      <c r="Y530" s="146"/>
      <c r="Z530" s="146"/>
    </row>
    <row r="531" spans="1:26" ht="15.75" customHeight="1" x14ac:dyDescent="0.25">
      <c r="A531" s="146"/>
      <c r="B531" s="146"/>
      <c r="C531" s="146"/>
      <c r="D531" s="146"/>
      <c r="E531" s="146"/>
      <c r="F531" s="146"/>
      <c r="G531" s="146"/>
      <c r="H531" s="146"/>
      <c r="I531" s="146"/>
      <c r="J531" s="146"/>
      <c r="K531" s="146"/>
      <c r="L531" s="146"/>
      <c r="M531" s="146"/>
      <c r="N531" s="146"/>
      <c r="O531" s="146"/>
      <c r="P531" s="146"/>
      <c r="Q531" s="146"/>
      <c r="R531" s="146"/>
      <c r="S531" s="146"/>
      <c r="T531" s="146"/>
      <c r="U531" s="146"/>
      <c r="V531" s="146"/>
      <c r="W531" s="146"/>
      <c r="X531" s="146"/>
      <c r="Y531" s="146"/>
      <c r="Z531" s="146"/>
    </row>
    <row r="532" spans="1:26" ht="15.75" customHeight="1" x14ac:dyDescent="0.25">
      <c r="A532" s="146"/>
      <c r="B532" s="146"/>
      <c r="C532" s="146"/>
      <c r="D532" s="146"/>
      <c r="E532" s="146"/>
      <c r="F532" s="146"/>
      <c r="G532" s="146"/>
      <c r="H532" s="146"/>
      <c r="I532" s="146"/>
      <c r="J532" s="146"/>
      <c r="K532" s="146"/>
      <c r="L532" s="146"/>
      <c r="M532" s="146"/>
      <c r="N532" s="146"/>
      <c r="O532" s="146"/>
      <c r="P532" s="146"/>
      <c r="Q532" s="146"/>
      <c r="R532" s="146"/>
      <c r="S532" s="146"/>
      <c r="T532" s="146"/>
      <c r="U532" s="146"/>
      <c r="V532" s="146"/>
      <c r="W532" s="146"/>
      <c r="X532" s="146"/>
      <c r="Y532" s="146"/>
      <c r="Z532" s="146"/>
    </row>
    <row r="533" spans="1:26" ht="15.75" customHeight="1" x14ac:dyDescent="0.25">
      <c r="A533" s="146"/>
      <c r="B533" s="146"/>
      <c r="C533" s="146"/>
      <c r="D533" s="146"/>
      <c r="E533" s="146"/>
      <c r="F533" s="146"/>
      <c r="G533" s="146"/>
      <c r="H533" s="146"/>
      <c r="I533" s="146"/>
      <c r="J533" s="146"/>
      <c r="K533" s="146"/>
      <c r="L533" s="146"/>
      <c r="M533" s="146"/>
      <c r="N533" s="146"/>
      <c r="O533" s="146"/>
      <c r="P533" s="146"/>
      <c r="Q533" s="146"/>
      <c r="R533" s="146"/>
      <c r="S533" s="146"/>
      <c r="T533" s="146"/>
      <c r="U533" s="146"/>
      <c r="V533" s="146"/>
      <c r="W533" s="146"/>
      <c r="X533" s="146"/>
      <c r="Y533" s="146"/>
      <c r="Z533" s="146"/>
    </row>
    <row r="534" spans="1:26" ht="15.75" customHeight="1" x14ac:dyDescent="0.25">
      <c r="A534" s="146"/>
      <c r="B534" s="146"/>
      <c r="C534" s="146"/>
      <c r="D534" s="146"/>
      <c r="E534" s="146"/>
      <c r="F534" s="146"/>
      <c r="G534" s="146"/>
      <c r="H534" s="146"/>
      <c r="I534" s="146"/>
      <c r="J534" s="146"/>
      <c r="K534" s="146"/>
      <c r="L534" s="146"/>
      <c r="M534" s="146"/>
      <c r="N534" s="146"/>
      <c r="O534" s="146"/>
      <c r="P534" s="146"/>
      <c r="Q534" s="146"/>
      <c r="R534" s="146"/>
      <c r="S534" s="146"/>
      <c r="T534" s="146"/>
      <c r="U534" s="146"/>
      <c r="V534" s="146"/>
      <c r="W534" s="146"/>
      <c r="X534" s="146"/>
      <c r="Y534" s="146"/>
      <c r="Z534" s="146"/>
    </row>
    <row r="535" spans="1:26" ht="15.75" customHeight="1" x14ac:dyDescent="0.25">
      <c r="A535" s="146"/>
      <c r="B535" s="146"/>
      <c r="C535" s="146"/>
      <c r="D535" s="146"/>
      <c r="E535" s="146"/>
      <c r="F535" s="146"/>
      <c r="G535" s="146"/>
      <c r="H535" s="146"/>
      <c r="I535" s="146"/>
      <c r="J535" s="146"/>
      <c r="K535" s="146"/>
      <c r="L535" s="146"/>
      <c r="M535" s="146"/>
      <c r="N535" s="146"/>
      <c r="O535" s="146"/>
      <c r="P535" s="146"/>
      <c r="Q535" s="146"/>
      <c r="R535" s="146"/>
      <c r="S535" s="146"/>
      <c r="T535" s="146"/>
      <c r="U535" s="146"/>
      <c r="V535" s="146"/>
      <c r="W535" s="146"/>
      <c r="X535" s="146"/>
      <c r="Y535" s="146"/>
      <c r="Z535" s="146"/>
    </row>
    <row r="536" spans="1:26" ht="15.75" customHeight="1" x14ac:dyDescent="0.25">
      <c r="A536" s="146"/>
      <c r="B536" s="146"/>
      <c r="C536" s="146"/>
      <c r="D536" s="146"/>
      <c r="E536" s="146"/>
      <c r="F536" s="146"/>
      <c r="G536" s="146"/>
      <c r="H536" s="146"/>
      <c r="I536" s="146"/>
      <c r="J536" s="146"/>
      <c r="K536" s="146"/>
      <c r="L536" s="146"/>
      <c r="M536" s="146"/>
      <c r="N536" s="146"/>
      <c r="O536" s="146"/>
      <c r="P536" s="146"/>
      <c r="Q536" s="146"/>
      <c r="R536" s="146"/>
      <c r="S536" s="146"/>
      <c r="T536" s="146"/>
      <c r="U536" s="146"/>
      <c r="V536" s="146"/>
      <c r="W536" s="146"/>
      <c r="X536" s="146"/>
      <c r="Y536" s="146"/>
      <c r="Z536" s="146"/>
    </row>
    <row r="537" spans="1:26" ht="15.75" customHeight="1" x14ac:dyDescent="0.25">
      <c r="A537" s="146"/>
      <c r="B537" s="146"/>
      <c r="C537" s="146"/>
      <c r="D537" s="146"/>
      <c r="E537" s="146"/>
      <c r="F537" s="146"/>
      <c r="G537" s="146"/>
      <c r="H537" s="146"/>
      <c r="I537" s="146"/>
      <c r="J537" s="146"/>
      <c r="K537" s="146"/>
      <c r="L537" s="146"/>
      <c r="M537" s="146"/>
      <c r="N537" s="146"/>
      <c r="O537" s="146"/>
      <c r="P537" s="146"/>
      <c r="Q537" s="146"/>
      <c r="R537" s="146"/>
      <c r="S537" s="146"/>
      <c r="T537" s="146"/>
      <c r="U537" s="146"/>
      <c r="V537" s="146"/>
      <c r="W537" s="146"/>
      <c r="X537" s="146"/>
      <c r="Y537" s="146"/>
      <c r="Z537" s="146"/>
    </row>
    <row r="538" spans="1:26" ht="15.75" customHeight="1" x14ac:dyDescent="0.25">
      <c r="A538" s="146"/>
      <c r="B538" s="146"/>
      <c r="C538" s="146"/>
      <c r="D538" s="146"/>
      <c r="E538" s="146"/>
      <c r="F538" s="146"/>
      <c r="G538" s="146"/>
      <c r="H538" s="146"/>
      <c r="I538" s="146"/>
      <c r="J538" s="146"/>
      <c r="K538" s="146"/>
      <c r="L538" s="146"/>
      <c r="M538" s="146"/>
      <c r="N538" s="146"/>
      <c r="O538" s="146"/>
      <c r="P538" s="146"/>
      <c r="Q538" s="146"/>
      <c r="R538" s="146"/>
      <c r="S538" s="146"/>
      <c r="T538" s="146"/>
      <c r="U538" s="146"/>
      <c r="V538" s="146"/>
      <c r="W538" s="146"/>
      <c r="X538" s="146"/>
      <c r="Y538" s="146"/>
      <c r="Z538" s="146"/>
    </row>
    <row r="539" spans="1:26" ht="15.75" customHeight="1" x14ac:dyDescent="0.25">
      <c r="A539" s="146"/>
      <c r="B539" s="146"/>
      <c r="C539" s="146"/>
      <c r="D539" s="146"/>
      <c r="E539" s="146"/>
      <c r="F539" s="146"/>
      <c r="G539" s="146"/>
      <c r="H539" s="146"/>
      <c r="I539" s="146"/>
      <c r="J539" s="146"/>
      <c r="K539" s="146"/>
      <c r="L539" s="146"/>
      <c r="M539" s="146"/>
      <c r="N539" s="146"/>
      <c r="O539" s="146"/>
      <c r="P539" s="146"/>
      <c r="Q539" s="146"/>
      <c r="R539" s="146"/>
      <c r="S539" s="146"/>
      <c r="T539" s="146"/>
      <c r="U539" s="146"/>
      <c r="V539" s="146"/>
      <c r="W539" s="146"/>
      <c r="X539" s="146"/>
      <c r="Y539" s="146"/>
      <c r="Z539" s="146"/>
    </row>
    <row r="540" spans="1:26" ht="15.75" customHeight="1" x14ac:dyDescent="0.25">
      <c r="A540" s="146"/>
      <c r="B540" s="146"/>
      <c r="C540" s="146"/>
      <c r="D540" s="146"/>
      <c r="E540" s="146"/>
      <c r="F540" s="146"/>
      <c r="G540" s="146"/>
      <c r="H540" s="146"/>
      <c r="I540" s="146"/>
      <c r="J540" s="146"/>
      <c r="K540" s="146"/>
      <c r="L540" s="146"/>
      <c r="M540" s="146"/>
      <c r="N540" s="146"/>
      <c r="O540" s="146"/>
      <c r="P540" s="146"/>
      <c r="Q540" s="146"/>
      <c r="R540" s="146"/>
      <c r="S540" s="146"/>
      <c r="T540" s="146"/>
      <c r="U540" s="146"/>
      <c r="V540" s="146"/>
      <c r="W540" s="146"/>
      <c r="X540" s="146"/>
      <c r="Y540" s="146"/>
      <c r="Z540" s="146"/>
    </row>
    <row r="541" spans="1:26" ht="15.75" customHeight="1" x14ac:dyDescent="0.25">
      <c r="A541" s="146"/>
      <c r="B541" s="146"/>
      <c r="C541" s="146"/>
      <c r="D541" s="146"/>
      <c r="E541" s="146"/>
      <c r="F541" s="146"/>
      <c r="G541" s="146"/>
      <c r="H541" s="146"/>
      <c r="I541" s="146"/>
      <c r="J541" s="146"/>
      <c r="K541" s="146"/>
      <c r="L541" s="146"/>
      <c r="M541" s="146"/>
      <c r="N541" s="146"/>
      <c r="O541" s="146"/>
      <c r="P541" s="146"/>
      <c r="Q541" s="146"/>
      <c r="R541" s="146"/>
      <c r="S541" s="146"/>
      <c r="T541" s="146"/>
      <c r="U541" s="146"/>
      <c r="V541" s="146"/>
      <c r="W541" s="146"/>
      <c r="X541" s="146"/>
      <c r="Y541" s="146"/>
      <c r="Z541" s="146"/>
    </row>
    <row r="542" spans="1:26" ht="15.75" customHeight="1" x14ac:dyDescent="0.25">
      <c r="A542" s="146"/>
      <c r="B542" s="146"/>
      <c r="C542" s="146"/>
      <c r="D542" s="146"/>
      <c r="E542" s="146"/>
      <c r="F542" s="146"/>
      <c r="G542" s="146"/>
      <c r="H542" s="146"/>
      <c r="I542" s="146"/>
      <c r="J542" s="146"/>
      <c r="K542" s="146"/>
      <c r="L542" s="146"/>
      <c r="M542" s="146"/>
      <c r="N542" s="146"/>
      <c r="O542" s="146"/>
      <c r="P542" s="146"/>
      <c r="Q542" s="146"/>
      <c r="R542" s="146"/>
      <c r="S542" s="146"/>
      <c r="T542" s="146"/>
      <c r="U542" s="146"/>
      <c r="V542" s="146"/>
      <c r="W542" s="146"/>
      <c r="X542" s="146"/>
      <c r="Y542" s="146"/>
      <c r="Z542" s="146"/>
    </row>
    <row r="543" spans="1:26" ht="15.75" customHeight="1" x14ac:dyDescent="0.25">
      <c r="A543" s="146"/>
      <c r="B543" s="146"/>
      <c r="C543" s="146"/>
      <c r="D543" s="146"/>
      <c r="E543" s="146"/>
      <c r="F543" s="146"/>
      <c r="G543" s="146"/>
      <c r="H543" s="146"/>
      <c r="I543" s="146"/>
      <c r="J543" s="146"/>
      <c r="K543" s="146"/>
      <c r="L543" s="146"/>
      <c r="M543" s="146"/>
      <c r="N543" s="146"/>
      <c r="O543" s="146"/>
      <c r="P543" s="146"/>
      <c r="Q543" s="146"/>
      <c r="R543" s="146"/>
      <c r="S543" s="146"/>
      <c r="T543" s="146"/>
      <c r="U543" s="146"/>
      <c r="V543" s="146"/>
      <c r="W543" s="146"/>
      <c r="X543" s="146"/>
      <c r="Y543" s="146"/>
      <c r="Z543" s="146"/>
    </row>
    <row r="544" spans="1:26" ht="15.75" customHeight="1" x14ac:dyDescent="0.25">
      <c r="A544" s="146"/>
      <c r="B544" s="146"/>
      <c r="C544" s="146"/>
      <c r="D544" s="146"/>
      <c r="E544" s="146"/>
      <c r="F544" s="146"/>
      <c r="G544" s="146"/>
      <c r="H544" s="146"/>
      <c r="I544" s="146"/>
      <c r="J544" s="146"/>
      <c r="K544" s="146"/>
      <c r="L544" s="146"/>
      <c r="M544" s="146"/>
      <c r="N544" s="146"/>
      <c r="O544" s="146"/>
      <c r="P544" s="146"/>
      <c r="Q544" s="146"/>
      <c r="R544" s="146"/>
      <c r="S544" s="146"/>
      <c r="T544" s="146"/>
      <c r="U544" s="146"/>
      <c r="V544" s="146"/>
      <c r="W544" s="146"/>
      <c r="X544" s="146"/>
      <c r="Y544" s="146"/>
      <c r="Z544" s="146"/>
    </row>
    <row r="545" spans="1:26" ht="15.75" customHeight="1" x14ac:dyDescent="0.25">
      <c r="A545" s="146"/>
      <c r="B545" s="146"/>
      <c r="C545" s="146"/>
      <c r="D545" s="146"/>
      <c r="E545" s="146"/>
      <c r="F545" s="146"/>
      <c r="G545" s="146"/>
      <c r="H545" s="146"/>
      <c r="I545" s="146"/>
      <c r="J545" s="146"/>
      <c r="K545" s="146"/>
      <c r="L545" s="146"/>
      <c r="M545" s="146"/>
      <c r="N545" s="146"/>
      <c r="O545" s="146"/>
      <c r="P545" s="146"/>
      <c r="Q545" s="146"/>
      <c r="R545" s="146"/>
      <c r="S545" s="146"/>
      <c r="T545" s="146"/>
      <c r="U545" s="146"/>
      <c r="V545" s="146"/>
      <c r="W545" s="146"/>
      <c r="X545" s="146"/>
      <c r="Y545" s="146"/>
      <c r="Z545" s="146"/>
    </row>
    <row r="546" spans="1:26" ht="15.75" customHeight="1" x14ac:dyDescent="0.25">
      <c r="A546" s="146"/>
      <c r="B546" s="146"/>
      <c r="C546" s="146"/>
      <c r="D546" s="146"/>
      <c r="E546" s="146"/>
      <c r="F546" s="146"/>
      <c r="G546" s="146"/>
      <c r="H546" s="146"/>
      <c r="I546" s="146"/>
      <c r="J546" s="146"/>
      <c r="K546" s="146"/>
      <c r="L546" s="146"/>
      <c r="M546" s="146"/>
      <c r="N546" s="146"/>
      <c r="O546" s="146"/>
      <c r="P546" s="146"/>
      <c r="Q546" s="146"/>
      <c r="R546" s="146"/>
      <c r="S546" s="146"/>
      <c r="T546" s="146"/>
      <c r="U546" s="146"/>
      <c r="V546" s="146"/>
      <c r="W546" s="146"/>
      <c r="X546" s="146"/>
      <c r="Y546" s="146"/>
      <c r="Z546" s="146"/>
    </row>
    <row r="547" spans="1:26" ht="15.75" customHeight="1" x14ac:dyDescent="0.25">
      <c r="A547" s="146"/>
      <c r="B547" s="146"/>
      <c r="C547" s="146"/>
      <c r="D547" s="146"/>
      <c r="E547" s="146"/>
      <c r="F547" s="146"/>
      <c r="G547" s="146"/>
      <c r="H547" s="146"/>
      <c r="I547" s="146"/>
      <c r="J547" s="146"/>
      <c r="K547" s="146"/>
      <c r="L547" s="146"/>
      <c r="M547" s="146"/>
      <c r="N547" s="146"/>
      <c r="O547" s="146"/>
      <c r="P547" s="146"/>
      <c r="Q547" s="146"/>
      <c r="R547" s="146"/>
      <c r="S547" s="146"/>
      <c r="T547" s="146"/>
      <c r="U547" s="146"/>
      <c r="V547" s="146"/>
      <c r="W547" s="146"/>
      <c r="X547" s="146"/>
      <c r="Y547" s="146"/>
      <c r="Z547" s="146"/>
    </row>
    <row r="548" spans="1:26" ht="15.75" customHeight="1" x14ac:dyDescent="0.25">
      <c r="A548" s="146"/>
      <c r="B548" s="146"/>
      <c r="C548" s="146"/>
      <c r="D548" s="146"/>
      <c r="E548" s="146"/>
      <c r="F548" s="146"/>
      <c r="G548" s="146"/>
      <c r="H548" s="146"/>
      <c r="I548" s="146"/>
      <c r="J548" s="146"/>
      <c r="K548" s="146"/>
      <c r="L548" s="146"/>
      <c r="M548" s="146"/>
      <c r="N548" s="146"/>
      <c r="O548" s="146"/>
      <c r="P548" s="146"/>
      <c r="Q548" s="146"/>
      <c r="R548" s="146"/>
      <c r="S548" s="146"/>
      <c r="T548" s="146"/>
      <c r="U548" s="146"/>
      <c r="V548" s="146"/>
      <c r="W548" s="146"/>
      <c r="X548" s="146"/>
      <c r="Y548" s="146"/>
      <c r="Z548" s="146"/>
    </row>
    <row r="549" spans="1:26" ht="15.75" customHeight="1" x14ac:dyDescent="0.25">
      <c r="A549" s="146"/>
      <c r="B549" s="146"/>
      <c r="C549" s="146"/>
      <c r="D549" s="146"/>
      <c r="E549" s="146"/>
      <c r="F549" s="146"/>
      <c r="G549" s="146"/>
      <c r="H549" s="146"/>
      <c r="I549" s="146"/>
      <c r="J549" s="146"/>
      <c r="K549" s="146"/>
      <c r="L549" s="146"/>
      <c r="M549" s="146"/>
      <c r="N549" s="146"/>
      <c r="O549" s="146"/>
      <c r="P549" s="146"/>
      <c r="Q549" s="146"/>
      <c r="R549" s="146"/>
      <c r="S549" s="146"/>
      <c r="T549" s="146"/>
      <c r="U549" s="146"/>
      <c r="V549" s="146"/>
      <c r="W549" s="146"/>
      <c r="X549" s="146"/>
      <c r="Y549" s="146"/>
      <c r="Z549" s="146"/>
    </row>
    <row r="550" spans="1:26" ht="15.75" customHeight="1" x14ac:dyDescent="0.25">
      <c r="A550" s="146"/>
      <c r="B550" s="146"/>
      <c r="C550" s="146"/>
      <c r="D550" s="146"/>
      <c r="E550" s="146"/>
      <c r="F550" s="146"/>
      <c r="G550" s="146"/>
      <c r="H550" s="146"/>
      <c r="I550" s="146"/>
      <c r="J550" s="146"/>
      <c r="K550" s="146"/>
      <c r="L550" s="146"/>
      <c r="M550" s="146"/>
      <c r="N550" s="146"/>
      <c r="O550" s="146"/>
      <c r="P550" s="146"/>
      <c r="Q550" s="146"/>
      <c r="R550" s="146"/>
      <c r="S550" s="146"/>
      <c r="T550" s="146"/>
      <c r="U550" s="146"/>
      <c r="V550" s="146"/>
      <c r="W550" s="146"/>
      <c r="X550" s="146"/>
      <c r="Y550" s="146"/>
      <c r="Z550" s="146"/>
    </row>
    <row r="551" spans="1:26" ht="15.75" customHeight="1" x14ac:dyDescent="0.25">
      <c r="A551" s="146"/>
      <c r="B551" s="146"/>
      <c r="C551" s="146"/>
      <c r="D551" s="146"/>
      <c r="E551" s="146"/>
      <c r="F551" s="146"/>
      <c r="G551" s="146"/>
      <c r="H551" s="146"/>
      <c r="I551" s="146"/>
      <c r="J551" s="146"/>
      <c r="K551" s="146"/>
      <c r="L551" s="146"/>
      <c r="M551" s="146"/>
      <c r="N551" s="146"/>
      <c r="O551" s="146"/>
      <c r="P551" s="146"/>
      <c r="Q551" s="146"/>
      <c r="R551" s="146"/>
      <c r="S551" s="146"/>
      <c r="T551" s="146"/>
      <c r="U551" s="146"/>
      <c r="V551" s="146"/>
      <c r="W551" s="146"/>
      <c r="X551" s="146"/>
      <c r="Y551" s="146"/>
      <c r="Z551" s="146"/>
    </row>
    <row r="552" spans="1:26" ht="15.75" customHeight="1" x14ac:dyDescent="0.25">
      <c r="A552" s="146"/>
      <c r="B552" s="146"/>
      <c r="C552" s="146"/>
      <c r="D552" s="146"/>
      <c r="E552" s="146"/>
      <c r="F552" s="146"/>
      <c r="G552" s="146"/>
      <c r="H552" s="146"/>
      <c r="I552" s="146"/>
      <c r="J552" s="146"/>
      <c r="K552" s="146"/>
      <c r="L552" s="146"/>
      <c r="M552" s="146"/>
      <c r="N552" s="146"/>
      <c r="O552" s="146"/>
      <c r="P552" s="146"/>
      <c r="Q552" s="146"/>
      <c r="R552" s="146"/>
      <c r="S552" s="146"/>
      <c r="T552" s="146"/>
      <c r="U552" s="146"/>
      <c r="V552" s="146"/>
      <c r="W552" s="146"/>
      <c r="X552" s="146"/>
      <c r="Y552" s="146"/>
      <c r="Z552" s="146"/>
    </row>
    <row r="553" spans="1:26" ht="15.75" customHeight="1" x14ac:dyDescent="0.25">
      <c r="A553" s="146"/>
      <c r="B553" s="146"/>
      <c r="C553" s="146"/>
      <c r="D553" s="146"/>
      <c r="E553" s="146"/>
      <c r="F553" s="146"/>
      <c r="G553" s="146"/>
      <c r="H553" s="146"/>
      <c r="I553" s="146"/>
      <c r="J553" s="146"/>
      <c r="K553" s="146"/>
      <c r="L553" s="146"/>
      <c r="M553" s="146"/>
      <c r="N553" s="146"/>
      <c r="O553" s="146"/>
      <c r="P553" s="146"/>
      <c r="Q553" s="146"/>
      <c r="R553" s="146"/>
      <c r="S553" s="146"/>
      <c r="T553" s="146"/>
      <c r="U553" s="146"/>
      <c r="V553" s="146"/>
      <c r="W553" s="146"/>
      <c r="X553" s="146"/>
      <c r="Y553" s="146"/>
      <c r="Z553" s="146"/>
    </row>
    <row r="554" spans="1:26" ht="15.75" customHeight="1" x14ac:dyDescent="0.25">
      <c r="A554" s="146"/>
      <c r="B554" s="146"/>
      <c r="C554" s="146"/>
      <c r="D554" s="146"/>
      <c r="E554" s="146"/>
      <c r="F554" s="146"/>
      <c r="G554" s="146"/>
      <c r="H554" s="146"/>
      <c r="I554" s="146"/>
      <c r="J554" s="146"/>
      <c r="K554" s="146"/>
      <c r="L554" s="146"/>
      <c r="M554" s="146"/>
      <c r="N554" s="146"/>
      <c r="O554" s="146"/>
      <c r="P554" s="146"/>
      <c r="Q554" s="146"/>
      <c r="R554" s="146"/>
      <c r="S554" s="146"/>
      <c r="T554" s="146"/>
      <c r="U554" s="146"/>
      <c r="V554" s="146"/>
      <c r="W554" s="146"/>
      <c r="X554" s="146"/>
      <c r="Y554" s="146"/>
      <c r="Z554" s="146"/>
    </row>
    <row r="555" spans="1:26" ht="15.75" customHeight="1" x14ac:dyDescent="0.25">
      <c r="A555" s="146"/>
      <c r="B555" s="146"/>
      <c r="C555" s="146"/>
      <c r="D555" s="146"/>
      <c r="E555" s="146"/>
      <c r="F555" s="146"/>
      <c r="G555" s="146"/>
      <c r="H555" s="146"/>
      <c r="I555" s="146"/>
      <c r="J555" s="146"/>
      <c r="K555" s="146"/>
      <c r="L555" s="146"/>
      <c r="M555" s="146"/>
      <c r="N555" s="146"/>
      <c r="O555" s="146"/>
      <c r="P555" s="146"/>
      <c r="Q555" s="146"/>
      <c r="R555" s="146"/>
      <c r="S555" s="146"/>
      <c r="T555" s="146"/>
      <c r="U555" s="146"/>
      <c r="V555" s="146"/>
      <c r="W555" s="146"/>
      <c r="X555" s="146"/>
      <c r="Y555" s="146"/>
      <c r="Z555" s="146"/>
    </row>
    <row r="556" spans="1:26" ht="15.75" customHeight="1" x14ac:dyDescent="0.25">
      <c r="A556" s="146"/>
      <c r="B556" s="146"/>
      <c r="C556" s="146"/>
      <c r="D556" s="146"/>
      <c r="E556" s="146"/>
      <c r="F556" s="146"/>
      <c r="G556" s="146"/>
      <c r="H556" s="146"/>
      <c r="I556" s="146"/>
      <c r="J556" s="146"/>
      <c r="K556" s="146"/>
      <c r="L556" s="146"/>
      <c r="M556" s="146"/>
      <c r="N556" s="146"/>
      <c r="O556" s="146"/>
      <c r="P556" s="146"/>
      <c r="Q556" s="146"/>
      <c r="R556" s="146"/>
      <c r="S556" s="146"/>
      <c r="T556" s="146"/>
      <c r="U556" s="146"/>
      <c r="V556" s="146"/>
      <c r="W556" s="146"/>
      <c r="X556" s="146"/>
      <c r="Y556" s="146"/>
      <c r="Z556" s="146"/>
    </row>
    <row r="557" spans="1:26" ht="15.75" customHeight="1" x14ac:dyDescent="0.25">
      <c r="A557" s="146"/>
      <c r="B557" s="146"/>
      <c r="C557" s="146"/>
      <c r="D557" s="146"/>
      <c r="E557" s="146"/>
      <c r="F557" s="146"/>
      <c r="G557" s="146"/>
      <c r="H557" s="146"/>
      <c r="I557" s="146"/>
      <c r="J557" s="146"/>
      <c r="K557" s="146"/>
      <c r="L557" s="146"/>
      <c r="M557" s="146"/>
      <c r="N557" s="146"/>
      <c r="O557" s="146"/>
      <c r="P557" s="146"/>
      <c r="Q557" s="146"/>
      <c r="R557" s="146"/>
      <c r="S557" s="146"/>
      <c r="T557" s="146"/>
      <c r="U557" s="146"/>
      <c r="V557" s="146"/>
      <c r="W557" s="146"/>
      <c r="X557" s="146"/>
      <c r="Y557" s="146"/>
      <c r="Z557" s="146"/>
    </row>
    <row r="558" spans="1:26" ht="15.75" customHeight="1" x14ac:dyDescent="0.25">
      <c r="A558" s="146"/>
      <c r="B558" s="146"/>
      <c r="C558" s="146"/>
      <c r="D558" s="146"/>
      <c r="E558" s="146"/>
      <c r="F558" s="146"/>
      <c r="G558" s="146"/>
      <c r="H558" s="146"/>
      <c r="I558" s="146"/>
      <c r="J558" s="146"/>
      <c r="K558" s="146"/>
      <c r="L558" s="146"/>
      <c r="M558" s="146"/>
      <c r="N558" s="146"/>
      <c r="O558" s="146"/>
      <c r="P558" s="146"/>
      <c r="Q558" s="146"/>
      <c r="R558" s="146"/>
      <c r="S558" s="146"/>
      <c r="T558" s="146"/>
      <c r="U558" s="146"/>
      <c r="V558" s="146"/>
      <c r="W558" s="146"/>
      <c r="X558" s="146"/>
      <c r="Y558" s="146"/>
      <c r="Z558" s="146"/>
    </row>
    <row r="559" spans="1:26" ht="15.75" customHeight="1" x14ac:dyDescent="0.25">
      <c r="A559" s="146"/>
      <c r="B559" s="146"/>
      <c r="C559" s="146"/>
      <c r="D559" s="146"/>
      <c r="E559" s="146"/>
      <c r="F559" s="146"/>
      <c r="G559" s="146"/>
      <c r="H559" s="146"/>
      <c r="I559" s="146"/>
      <c r="J559" s="146"/>
      <c r="K559" s="146"/>
      <c r="L559" s="146"/>
      <c r="M559" s="146"/>
      <c r="N559" s="146"/>
      <c r="O559" s="146"/>
      <c r="P559" s="146"/>
      <c r="Q559" s="146"/>
      <c r="R559" s="146"/>
      <c r="S559" s="146"/>
      <c r="T559" s="146"/>
      <c r="U559" s="146"/>
      <c r="V559" s="146"/>
      <c r="W559" s="146"/>
      <c r="X559" s="146"/>
      <c r="Y559" s="146"/>
      <c r="Z559" s="146"/>
    </row>
    <row r="560" spans="1:26" ht="15.75" customHeight="1" x14ac:dyDescent="0.25">
      <c r="A560" s="146"/>
      <c r="B560" s="146"/>
      <c r="C560" s="146"/>
      <c r="D560" s="146"/>
      <c r="E560" s="146"/>
      <c r="F560" s="146"/>
      <c r="G560" s="146"/>
      <c r="H560" s="146"/>
      <c r="I560" s="146"/>
      <c r="J560" s="146"/>
      <c r="K560" s="146"/>
      <c r="L560" s="146"/>
      <c r="M560" s="146"/>
      <c r="N560" s="146"/>
      <c r="O560" s="146"/>
      <c r="P560" s="146"/>
      <c r="Q560" s="146"/>
      <c r="R560" s="146"/>
      <c r="S560" s="146"/>
      <c r="T560" s="146"/>
      <c r="U560" s="146"/>
      <c r="V560" s="146"/>
      <c r="W560" s="146"/>
      <c r="X560" s="146"/>
      <c r="Y560" s="146"/>
      <c r="Z560" s="146"/>
    </row>
    <row r="561" spans="1:26" ht="15.75" customHeight="1" x14ac:dyDescent="0.25">
      <c r="A561" s="146"/>
      <c r="B561" s="146"/>
      <c r="C561" s="146"/>
      <c r="D561" s="146"/>
      <c r="E561" s="146"/>
      <c r="F561" s="146"/>
      <c r="G561" s="146"/>
      <c r="H561" s="146"/>
      <c r="I561" s="146"/>
      <c r="J561" s="146"/>
      <c r="K561" s="146"/>
      <c r="L561" s="146"/>
      <c r="M561" s="146"/>
      <c r="N561" s="146"/>
      <c r="O561" s="146"/>
      <c r="P561" s="146"/>
      <c r="Q561" s="146"/>
      <c r="R561" s="146"/>
      <c r="S561" s="146"/>
      <c r="T561" s="146"/>
      <c r="U561" s="146"/>
      <c r="V561" s="146"/>
      <c r="W561" s="146"/>
      <c r="X561" s="146"/>
      <c r="Y561" s="146"/>
      <c r="Z561" s="146"/>
    </row>
    <row r="562" spans="1:26" ht="15.75" customHeight="1" x14ac:dyDescent="0.25">
      <c r="A562" s="146"/>
      <c r="B562" s="146"/>
      <c r="C562" s="146"/>
      <c r="D562" s="146"/>
      <c r="E562" s="146"/>
      <c r="F562" s="146"/>
      <c r="G562" s="146"/>
      <c r="H562" s="146"/>
      <c r="I562" s="146"/>
      <c r="J562" s="146"/>
      <c r="K562" s="146"/>
      <c r="L562" s="146"/>
      <c r="M562" s="146"/>
      <c r="N562" s="146"/>
      <c r="O562" s="146"/>
      <c r="P562" s="146"/>
      <c r="Q562" s="146"/>
      <c r="R562" s="146"/>
      <c r="S562" s="146"/>
      <c r="T562" s="146"/>
      <c r="U562" s="146"/>
      <c r="V562" s="146"/>
      <c r="W562" s="146"/>
      <c r="X562" s="146"/>
      <c r="Y562" s="146"/>
      <c r="Z562" s="146"/>
    </row>
    <row r="563" spans="1:26" ht="15.75" customHeight="1" x14ac:dyDescent="0.25">
      <c r="A563" s="146"/>
      <c r="B563" s="146"/>
      <c r="C563" s="146"/>
      <c r="D563" s="146"/>
      <c r="E563" s="146"/>
      <c r="F563" s="146"/>
      <c r="G563" s="146"/>
      <c r="H563" s="146"/>
      <c r="I563" s="146"/>
      <c r="J563" s="146"/>
      <c r="K563" s="146"/>
      <c r="L563" s="146"/>
      <c r="M563" s="146"/>
      <c r="N563" s="146"/>
      <c r="O563" s="146"/>
      <c r="P563" s="146"/>
      <c r="Q563" s="146"/>
      <c r="R563" s="146"/>
      <c r="S563" s="146"/>
      <c r="T563" s="146"/>
      <c r="U563" s="146"/>
      <c r="V563" s="146"/>
      <c r="W563" s="146"/>
      <c r="X563" s="146"/>
      <c r="Y563" s="146"/>
      <c r="Z563" s="146"/>
    </row>
    <row r="564" spans="1:26" ht="15.75" customHeight="1" x14ac:dyDescent="0.25">
      <c r="A564" s="146"/>
      <c r="B564" s="146"/>
      <c r="C564" s="146"/>
      <c r="D564" s="146"/>
      <c r="E564" s="146"/>
      <c r="F564" s="146"/>
      <c r="G564" s="146"/>
      <c r="H564" s="146"/>
      <c r="I564" s="146"/>
      <c r="J564" s="146"/>
      <c r="K564" s="146"/>
      <c r="L564" s="146"/>
      <c r="M564" s="146"/>
      <c r="N564" s="146"/>
      <c r="O564" s="146"/>
      <c r="P564" s="146"/>
      <c r="Q564" s="146"/>
      <c r="R564" s="146"/>
      <c r="S564" s="146"/>
      <c r="T564" s="146"/>
      <c r="U564" s="146"/>
      <c r="V564" s="146"/>
      <c r="W564" s="146"/>
      <c r="X564" s="146"/>
      <c r="Y564" s="146"/>
      <c r="Z564" s="146"/>
    </row>
    <row r="565" spans="1:26" ht="15.75" customHeight="1" x14ac:dyDescent="0.25">
      <c r="A565" s="146"/>
      <c r="B565" s="146"/>
      <c r="C565" s="146"/>
      <c r="D565" s="146"/>
      <c r="E565" s="146"/>
      <c r="F565" s="146"/>
      <c r="G565" s="146"/>
      <c r="H565" s="146"/>
      <c r="I565" s="146"/>
      <c r="J565" s="146"/>
      <c r="K565" s="146"/>
      <c r="L565" s="146"/>
      <c r="M565" s="146"/>
      <c r="N565" s="146"/>
      <c r="O565" s="146"/>
      <c r="P565" s="146"/>
      <c r="Q565" s="146"/>
      <c r="R565" s="146"/>
      <c r="S565" s="146"/>
      <c r="T565" s="146"/>
      <c r="U565" s="146"/>
      <c r="V565" s="146"/>
      <c r="W565" s="146"/>
      <c r="X565" s="146"/>
      <c r="Y565" s="146"/>
      <c r="Z565" s="146"/>
    </row>
    <row r="566" spans="1:26" ht="15.75" customHeight="1" x14ac:dyDescent="0.25">
      <c r="A566" s="146"/>
      <c r="B566" s="146"/>
      <c r="C566" s="146"/>
      <c r="D566" s="146"/>
      <c r="E566" s="146"/>
      <c r="F566" s="146"/>
      <c r="G566" s="146"/>
      <c r="H566" s="146"/>
      <c r="I566" s="146"/>
      <c r="J566" s="146"/>
      <c r="K566" s="146"/>
      <c r="L566" s="146"/>
      <c r="M566" s="146"/>
      <c r="N566" s="146"/>
      <c r="O566" s="146"/>
      <c r="P566" s="146"/>
      <c r="Q566" s="146"/>
      <c r="R566" s="146"/>
      <c r="S566" s="146"/>
      <c r="T566" s="146"/>
      <c r="U566" s="146"/>
      <c r="V566" s="146"/>
      <c r="W566" s="146"/>
      <c r="X566" s="146"/>
      <c r="Y566" s="146"/>
      <c r="Z566" s="146"/>
    </row>
    <row r="567" spans="1:26" ht="15.75" customHeight="1" x14ac:dyDescent="0.25">
      <c r="A567" s="146"/>
      <c r="B567" s="146"/>
      <c r="C567" s="146"/>
      <c r="D567" s="146"/>
      <c r="E567" s="146"/>
      <c r="F567" s="146"/>
      <c r="G567" s="146"/>
      <c r="H567" s="146"/>
      <c r="I567" s="146"/>
      <c r="J567" s="146"/>
      <c r="K567" s="146"/>
      <c r="L567" s="146"/>
      <c r="M567" s="146"/>
      <c r="N567" s="146"/>
      <c r="O567" s="146"/>
      <c r="P567" s="146"/>
      <c r="Q567" s="146"/>
      <c r="R567" s="146"/>
      <c r="S567" s="146"/>
      <c r="T567" s="146"/>
      <c r="U567" s="146"/>
      <c r="V567" s="146"/>
      <c r="W567" s="146"/>
      <c r="X567" s="146"/>
      <c r="Y567" s="146"/>
      <c r="Z567" s="146"/>
    </row>
    <row r="568" spans="1:26" ht="15.75" customHeight="1" x14ac:dyDescent="0.25">
      <c r="A568" s="146"/>
      <c r="B568" s="146"/>
      <c r="C568" s="146"/>
      <c r="D568" s="146"/>
      <c r="E568" s="146"/>
      <c r="F568" s="146"/>
      <c r="G568" s="146"/>
      <c r="H568" s="146"/>
      <c r="I568" s="146"/>
      <c r="J568" s="146"/>
      <c r="K568" s="146"/>
      <c r="L568" s="146"/>
      <c r="M568" s="146"/>
      <c r="N568" s="146"/>
      <c r="O568" s="146"/>
      <c r="P568" s="146"/>
      <c r="Q568" s="146"/>
      <c r="R568" s="146"/>
      <c r="S568" s="146"/>
      <c r="T568" s="146"/>
      <c r="U568" s="146"/>
      <c r="V568" s="146"/>
      <c r="W568" s="146"/>
      <c r="X568" s="146"/>
      <c r="Y568" s="146"/>
      <c r="Z568" s="146"/>
    </row>
    <row r="569" spans="1:26" ht="15.75" customHeight="1" x14ac:dyDescent="0.25">
      <c r="A569" s="146"/>
      <c r="B569" s="146"/>
      <c r="C569" s="146"/>
      <c r="D569" s="146"/>
      <c r="E569" s="146"/>
      <c r="F569" s="146"/>
      <c r="G569" s="146"/>
      <c r="H569" s="146"/>
      <c r="I569" s="146"/>
      <c r="J569" s="146"/>
      <c r="K569" s="146"/>
      <c r="L569" s="146"/>
      <c r="M569" s="146"/>
      <c r="N569" s="146"/>
      <c r="O569" s="146"/>
      <c r="P569" s="146"/>
      <c r="Q569" s="146"/>
      <c r="R569" s="146"/>
      <c r="S569" s="146"/>
      <c r="T569" s="146"/>
      <c r="U569" s="146"/>
      <c r="V569" s="146"/>
      <c r="W569" s="146"/>
      <c r="X569" s="146"/>
      <c r="Y569" s="146"/>
      <c r="Z569" s="146"/>
    </row>
    <row r="570" spans="1:26" ht="15.75" customHeight="1" x14ac:dyDescent="0.25">
      <c r="A570" s="146"/>
      <c r="B570" s="146"/>
      <c r="C570" s="146"/>
      <c r="D570" s="146"/>
      <c r="E570" s="146"/>
      <c r="F570" s="146"/>
      <c r="G570" s="146"/>
      <c r="H570" s="146"/>
      <c r="I570" s="146"/>
      <c r="J570" s="146"/>
      <c r="K570" s="146"/>
      <c r="L570" s="146"/>
      <c r="M570" s="146"/>
      <c r="N570" s="146"/>
      <c r="O570" s="146"/>
      <c r="P570" s="146"/>
      <c r="Q570" s="146"/>
      <c r="R570" s="146"/>
      <c r="S570" s="146"/>
      <c r="T570" s="146"/>
      <c r="U570" s="146"/>
      <c r="V570" s="146"/>
      <c r="W570" s="146"/>
      <c r="X570" s="146"/>
      <c r="Y570" s="146"/>
      <c r="Z570" s="146"/>
    </row>
    <row r="571" spans="1:26" ht="15.75" customHeight="1" x14ac:dyDescent="0.25">
      <c r="A571" s="146"/>
      <c r="B571" s="146"/>
      <c r="C571" s="146"/>
      <c r="D571" s="146"/>
      <c r="E571" s="146"/>
      <c r="F571" s="146"/>
      <c r="G571" s="146"/>
      <c r="H571" s="146"/>
      <c r="I571" s="146"/>
      <c r="J571" s="146"/>
      <c r="K571" s="146"/>
      <c r="L571" s="146"/>
      <c r="M571" s="146"/>
      <c r="N571" s="146"/>
      <c r="O571" s="146"/>
      <c r="P571" s="146"/>
      <c r="Q571" s="146"/>
      <c r="R571" s="146"/>
      <c r="S571" s="146"/>
      <c r="T571" s="146"/>
      <c r="U571" s="146"/>
      <c r="V571" s="146"/>
      <c r="W571" s="146"/>
      <c r="X571" s="146"/>
      <c r="Y571" s="146"/>
      <c r="Z571" s="146"/>
    </row>
    <row r="572" spans="1:26" ht="15.75" customHeight="1" x14ac:dyDescent="0.25">
      <c r="A572" s="146"/>
      <c r="B572" s="146"/>
      <c r="C572" s="146"/>
      <c r="D572" s="146"/>
      <c r="E572" s="146"/>
      <c r="F572" s="146"/>
      <c r="G572" s="146"/>
      <c r="H572" s="146"/>
      <c r="I572" s="146"/>
      <c r="J572" s="146"/>
      <c r="K572" s="146"/>
      <c r="L572" s="146"/>
      <c r="M572" s="146"/>
      <c r="N572" s="146"/>
      <c r="O572" s="146"/>
      <c r="P572" s="146"/>
      <c r="Q572" s="146"/>
      <c r="R572" s="146"/>
      <c r="S572" s="146"/>
      <c r="T572" s="146"/>
      <c r="U572" s="146"/>
      <c r="V572" s="146"/>
      <c r="W572" s="146"/>
      <c r="X572" s="146"/>
      <c r="Y572" s="146"/>
      <c r="Z572" s="146"/>
    </row>
    <row r="573" spans="1:26" ht="15.75" customHeight="1" x14ac:dyDescent="0.25">
      <c r="A573" s="146"/>
      <c r="B573" s="146"/>
      <c r="C573" s="146"/>
      <c r="D573" s="146"/>
      <c r="E573" s="146"/>
      <c r="F573" s="146"/>
      <c r="G573" s="146"/>
      <c r="H573" s="146"/>
      <c r="I573" s="146"/>
      <c r="J573" s="146"/>
      <c r="K573" s="146"/>
      <c r="L573" s="146"/>
      <c r="M573" s="146"/>
      <c r="N573" s="146"/>
      <c r="O573" s="146"/>
      <c r="P573" s="146"/>
      <c r="Q573" s="146"/>
      <c r="R573" s="146"/>
      <c r="S573" s="146"/>
      <c r="T573" s="146"/>
      <c r="U573" s="146"/>
      <c r="V573" s="146"/>
      <c r="W573" s="146"/>
      <c r="X573" s="146"/>
      <c r="Y573" s="146"/>
      <c r="Z573" s="146"/>
    </row>
    <row r="574" spans="1:26" ht="15.75" customHeight="1" x14ac:dyDescent="0.25">
      <c r="A574" s="146"/>
      <c r="B574" s="146"/>
      <c r="C574" s="146"/>
      <c r="D574" s="146"/>
      <c r="E574" s="146"/>
      <c r="F574" s="146"/>
      <c r="G574" s="146"/>
      <c r="H574" s="146"/>
      <c r="I574" s="146"/>
      <c r="J574" s="146"/>
      <c r="K574" s="146"/>
      <c r="L574" s="146"/>
      <c r="M574" s="146"/>
      <c r="N574" s="146"/>
      <c r="O574" s="146"/>
      <c r="P574" s="146"/>
      <c r="Q574" s="146"/>
      <c r="R574" s="146"/>
      <c r="S574" s="146"/>
      <c r="T574" s="146"/>
      <c r="U574" s="146"/>
      <c r="V574" s="146"/>
      <c r="W574" s="146"/>
      <c r="X574" s="146"/>
      <c r="Y574" s="146"/>
      <c r="Z574" s="146"/>
    </row>
    <row r="575" spans="1:26" ht="15.75" customHeight="1" x14ac:dyDescent="0.25">
      <c r="A575" s="146"/>
      <c r="B575" s="146"/>
      <c r="C575" s="146"/>
      <c r="D575" s="146"/>
      <c r="E575" s="146"/>
      <c r="F575" s="146"/>
      <c r="G575" s="146"/>
      <c r="H575" s="146"/>
      <c r="I575" s="146"/>
      <c r="J575" s="146"/>
      <c r="K575" s="146"/>
      <c r="L575" s="146"/>
      <c r="M575" s="146"/>
      <c r="N575" s="146"/>
      <c r="O575" s="146"/>
      <c r="P575" s="146"/>
      <c r="Q575" s="146"/>
      <c r="R575" s="146"/>
      <c r="S575" s="146"/>
      <c r="T575" s="146"/>
      <c r="U575" s="146"/>
      <c r="V575" s="146"/>
      <c r="W575" s="146"/>
      <c r="X575" s="146"/>
      <c r="Y575" s="146"/>
      <c r="Z575" s="146"/>
    </row>
    <row r="576" spans="1:26" ht="15.75" customHeight="1" x14ac:dyDescent="0.25">
      <c r="A576" s="146"/>
      <c r="B576" s="146"/>
      <c r="C576" s="146"/>
      <c r="D576" s="146"/>
      <c r="E576" s="146"/>
      <c r="F576" s="146"/>
      <c r="G576" s="146"/>
      <c r="H576" s="146"/>
      <c r="I576" s="146"/>
      <c r="J576" s="146"/>
      <c r="K576" s="146"/>
      <c r="L576" s="146"/>
      <c r="M576" s="146"/>
      <c r="N576" s="146"/>
      <c r="O576" s="146"/>
      <c r="P576" s="146"/>
      <c r="Q576" s="146"/>
      <c r="R576" s="146"/>
      <c r="S576" s="146"/>
      <c r="T576" s="146"/>
      <c r="U576" s="146"/>
      <c r="V576" s="146"/>
      <c r="W576" s="146"/>
      <c r="X576" s="146"/>
      <c r="Y576" s="146"/>
      <c r="Z576" s="146"/>
    </row>
    <row r="577" spans="1:26" ht="15.75" customHeight="1" x14ac:dyDescent="0.25">
      <c r="A577" s="146"/>
      <c r="B577" s="146"/>
      <c r="C577" s="146"/>
      <c r="D577" s="146"/>
      <c r="E577" s="146"/>
      <c r="F577" s="146"/>
      <c r="G577" s="146"/>
      <c r="H577" s="146"/>
      <c r="I577" s="146"/>
      <c r="J577" s="146"/>
      <c r="K577" s="146"/>
      <c r="L577" s="146"/>
      <c r="M577" s="146"/>
      <c r="N577" s="146"/>
      <c r="O577" s="146"/>
      <c r="P577" s="146"/>
      <c r="Q577" s="146"/>
      <c r="R577" s="146"/>
      <c r="S577" s="146"/>
      <c r="T577" s="146"/>
      <c r="U577" s="146"/>
      <c r="V577" s="146"/>
      <c r="W577" s="146"/>
      <c r="X577" s="146"/>
      <c r="Y577" s="146"/>
      <c r="Z577" s="146"/>
    </row>
    <row r="578" spans="1:26" ht="15.75" customHeight="1" x14ac:dyDescent="0.25">
      <c r="A578" s="146"/>
      <c r="B578" s="146"/>
      <c r="C578" s="146"/>
      <c r="D578" s="146"/>
      <c r="E578" s="146"/>
      <c r="F578" s="146"/>
      <c r="G578" s="146"/>
      <c r="H578" s="146"/>
      <c r="I578" s="146"/>
      <c r="J578" s="146"/>
      <c r="K578" s="146"/>
      <c r="L578" s="146"/>
      <c r="M578" s="146"/>
      <c r="N578" s="146"/>
      <c r="O578" s="146"/>
      <c r="P578" s="146"/>
      <c r="Q578" s="146"/>
      <c r="R578" s="146"/>
      <c r="S578" s="146"/>
      <c r="T578" s="146"/>
      <c r="U578" s="146"/>
      <c r="V578" s="146"/>
      <c r="W578" s="146"/>
      <c r="X578" s="146"/>
      <c r="Y578" s="146"/>
      <c r="Z578" s="146"/>
    </row>
    <row r="579" spans="1:26" ht="15.75" customHeight="1" x14ac:dyDescent="0.25">
      <c r="A579" s="146"/>
      <c r="B579" s="146"/>
      <c r="C579" s="146"/>
      <c r="D579" s="146"/>
      <c r="E579" s="146"/>
      <c r="F579" s="146"/>
      <c r="G579" s="146"/>
      <c r="H579" s="146"/>
      <c r="I579" s="146"/>
      <c r="J579" s="146"/>
      <c r="K579" s="146"/>
      <c r="L579" s="146"/>
      <c r="M579" s="146"/>
      <c r="N579" s="146"/>
      <c r="O579" s="146"/>
      <c r="P579" s="146"/>
      <c r="Q579" s="146"/>
      <c r="R579" s="146"/>
      <c r="S579" s="146"/>
      <c r="T579" s="146"/>
      <c r="U579" s="146"/>
      <c r="V579" s="146"/>
      <c r="W579" s="146"/>
      <c r="X579" s="146"/>
      <c r="Y579" s="146"/>
      <c r="Z579" s="146"/>
    </row>
    <row r="580" spans="1:26" ht="15.75" customHeight="1" x14ac:dyDescent="0.25">
      <c r="A580" s="146"/>
      <c r="B580" s="146"/>
      <c r="C580" s="146"/>
      <c r="D580" s="146"/>
      <c r="E580" s="146"/>
      <c r="F580" s="146"/>
      <c r="G580" s="146"/>
      <c r="H580" s="146"/>
      <c r="I580" s="146"/>
      <c r="J580" s="146"/>
      <c r="K580" s="146"/>
      <c r="L580" s="146"/>
      <c r="M580" s="146"/>
      <c r="N580" s="146"/>
      <c r="O580" s="146"/>
      <c r="P580" s="146"/>
      <c r="Q580" s="146"/>
      <c r="R580" s="146"/>
      <c r="S580" s="146"/>
      <c r="T580" s="146"/>
      <c r="U580" s="146"/>
      <c r="V580" s="146"/>
      <c r="W580" s="146"/>
      <c r="X580" s="146"/>
      <c r="Y580" s="146"/>
      <c r="Z580" s="146"/>
    </row>
    <row r="581" spans="1:26" ht="15.75" customHeight="1" x14ac:dyDescent="0.25">
      <c r="A581" s="146"/>
      <c r="B581" s="146"/>
      <c r="C581" s="146"/>
      <c r="D581" s="146"/>
      <c r="E581" s="146"/>
      <c r="F581" s="146"/>
      <c r="G581" s="146"/>
      <c r="H581" s="146"/>
      <c r="I581" s="146"/>
      <c r="J581" s="146"/>
      <c r="K581" s="146"/>
      <c r="L581" s="146"/>
      <c r="M581" s="146"/>
      <c r="N581" s="146"/>
      <c r="O581" s="146"/>
      <c r="P581" s="146"/>
      <c r="Q581" s="146"/>
      <c r="R581" s="146"/>
      <c r="S581" s="146"/>
      <c r="T581" s="146"/>
      <c r="U581" s="146"/>
      <c r="V581" s="146"/>
      <c r="W581" s="146"/>
      <c r="X581" s="146"/>
      <c r="Y581" s="146"/>
      <c r="Z581" s="146"/>
    </row>
    <row r="582" spans="1:26" ht="15.75" customHeight="1" x14ac:dyDescent="0.25">
      <c r="A582" s="146"/>
      <c r="B582" s="146"/>
      <c r="C582" s="146"/>
      <c r="D582" s="146"/>
      <c r="E582" s="146"/>
      <c r="F582" s="146"/>
      <c r="G582" s="146"/>
      <c r="H582" s="146"/>
      <c r="I582" s="146"/>
      <c r="J582" s="146"/>
      <c r="K582" s="146"/>
      <c r="L582" s="146"/>
      <c r="M582" s="146"/>
      <c r="N582" s="146"/>
      <c r="O582" s="146"/>
      <c r="P582" s="146"/>
      <c r="Q582" s="146"/>
      <c r="R582" s="146"/>
      <c r="S582" s="146"/>
      <c r="T582" s="146"/>
      <c r="U582" s="146"/>
      <c r="V582" s="146"/>
      <c r="W582" s="146"/>
      <c r="X582" s="146"/>
      <c r="Y582" s="146"/>
      <c r="Z582" s="146"/>
    </row>
    <row r="583" spans="1:26" ht="15.75" customHeight="1" x14ac:dyDescent="0.25">
      <c r="A583" s="146"/>
      <c r="B583" s="146"/>
      <c r="C583" s="146"/>
      <c r="D583" s="146"/>
      <c r="E583" s="146"/>
      <c r="F583" s="146"/>
      <c r="G583" s="146"/>
      <c r="H583" s="146"/>
      <c r="I583" s="146"/>
      <c r="J583" s="146"/>
      <c r="K583" s="146"/>
      <c r="L583" s="146"/>
      <c r="M583" s="146"/>
      <c r="N583" s="146"/>
      <c r="O583" s="146"/>
      <c r="P583" s="146"/>
      <c r="Q583" s="146"/>
      <c r="R583" s="146"/>
      <c r="S583" s="146"/>
      <c r="T583" s="146"/>
      <c r="U583" s="146"/>
      <c r="V583" s="146"/>
      <c r="W583" s="146"/>
      <c r="X583" s="146"/>
      <c r="Y583" s="146"/>
      <c r="Z583" s="146"/>
    </row>
    <row r="584" spans="1:26" ht="15.75" customHeight="1" x14ac:dyDescent="0.25">
      <c r="A584" s="146"/>
      <c r="B584" s="146"/>
      <c r="C584" s="146"/>
      <c r="D584" s="146"/>
      <c r="E584" s="146"/>
      <c r="F584" s="146"/>
      <c r="G584" s="146"/>
      <c r="H584" s="146"/>
      <c r="I584" s="146"/>
      <c r="J584" s="146"/>
      <c r="K584" s="146"/>
      <c r="L584" s="146"/>
      <c r="M584" s="146"/>
      <c r="N584" s="146"/>
      <c r="O584" s="146"/>
      <c r="P584" s="146"/>
      <c r="Q584" s="146"/>
      <c r="R584" s="146"/>
      <c r="S584" s="146"/>
      <c r="T584" s="146"/>
      <c r="U584" s="146"/>
      <c r="V584" s="146"/>
      <c r="W584" s="146"/>
      <c r="X584" s="146"/>
      <c r="Y584" s="146"/>
      <c r="Z584" s="146"/>
    </row>
    <row r="585" spans="1:26" ht="15.75" customHeight="1" x14ac:dyDescent="0.25">
      <c r="A585" s="146"/>
      <c r="B585" s="146"/>
      <c r="C585" s="146"/>
      <c r="D585" s="146"/>
      <c r="E585" s="146"/>
      <c r="F585" s="146"/>
      <c r="G585" s="146"/>
      <c r="H585" s="146"/>
      <c r="I585" s="146"/>
      <c r="J585" s="146"/>
      <c r="K585" s="146"/>
      <c r="L585" s="146"/>
      <c r="M585" s="146"/>
      <c r="N585" s="146"/>
      <c r="O585" s="146"/>
      <c r="P585" s="146"/>
      <c r="Q585" s="146"/>
      <c r="R585" s="146"/>
      <c r="S585" s="146"/>
      <c r="T585" s="146"/>
      <c r="U585" s="146"/>
      <c r="V585" s="146"/>
      <c r="W585" s="146"/>
      <c r="X585" s="146"/>
      <c r="Y585" s="146"/>
      <c r="Z585" s="146"/>
    </row>
    <row r="586" spans="1:26" ht="15.75" customHeight="1" x14ac:dyDescent="0.25">
      <c r="A586" s="146"/>
      <c r="B586" s="146"/>
      <c r="C586" s="146"/>
      <c r="D586" s="146"/>
      <c r="E586" s="146"/>
      <c r="F586" s="146"/>
      <c r="G586" s="146"/>
      <c r="H586" s="146"/>
      <c r="I586" s="146"/>
      <c r="J586" s="146"/>
      <c r="K586" s="146"/>
      <c r="L586" s="146"/>
      <c r="M586" s="146"/>
      <c r="N586" s="146"/>
      <c r="O586" s="146"/>
      <c r="P586" s="146"/>
      <c r="Q586" s="146"/>
      <c r="R586" s="146"/>
      <c r="S586" s="146"/>
      <c r="T586" s="146"/>
      <c r="U586" s="146"/>
      <c r="V586" s="146"/>
      <c r="W586" s="146"/>
      <c r="X586" s="146"/>
      <c r="Y586" s="146"/>
      <c r="Z586" s="146"/>
    </row>
    <row r="587" spans="1:26" ht="15.75" customHeight="1" x14ac:dyDescent="0.25">
      <c r="A587" s="146"/>
      <c r="B587" s="146"/>
      <c r="C587" s="146"/>
      <c r="D587" s="146"/>
      <c r="E587" s="146"/>
      <c r="F587" s="146"/>
      <c r="G587" s="146"/>
      <c r="H587" s="146"/>
      <c r="I587" s="146"/>
      <c r="J587" s="146"/>
      <c r="K587" s="146"/>
      <c r="L587" s="146"/>
      <c r="M587" s="146"/>
      <c r="N587" s="146"/>
      <c r="O587" s="146"/>
      <c r="P587" s="146"/>
      <c r="Q587" s="146"/>
      <c r="R587" s="146"/>
      <c r="S587" s="146"/>
      <c r="T587" s="146"/>
      <c r="U587" s="146"/>
      <c r="V587" s="146"/>
      <c r="W587" s="146"/>
      <c r="X587" s="146"/>
      <c r="Y587" s="146"/>
      <c r="Z587" s="146"/>
    </row>
    <row r="588" spans="1:26" ht="15.75" customHeight="1" x14ac:dyDescent="0.25">
      <c r="A588" s="146"/>
      <c r="B588" s="146"/>
      <c r="C588" s="146"/>
      <c r="D588" s="146"/>
      <c r="E588" s="146"/>
      <c r="F588" s="146"/>
      <c r="G588" s="146"/>
      <c r="H588" s="146"/>
      <c r="I588" s="146"/>
      <c r="J588" s="146"/>
      <c r="K588" s="146"/>
      <c r="L588" s="146"/>
      <c r="M588" s="146"/>
      <c r="N588" s="146"/>
      <c r="O588" s="146"/>
      <c r="P588" s="146"/>
      <c r="Q588" s="146"/>
      <c r="R588" s="146"/>
      <c r="S588" s="146"/>
      <c r="T588" s="146"/>
      <c r="U588" s="146"/>
      <c r="V588" s="146"/>
      <c r="W588" s="146"/>
      <c r="X588" s="146"/>
      <c r="Y588" s="146"/>
      <c r="Z588" s="146"/>
    </row>
    <row r="589" spans="1:26" ht="15.75" customHeight="1" x14ac:dyDescent="0.25">
      <c r="A589" s="146"/>
      <c r="B589" s="146"/>
      <c r="C589" s="146"/>
      <c r="D589" s="146"/>
      <c r="E589" s="146"/>
      <c r="F589" s="146"/>
      <c r="G589" s="146"/>
      <c r="H589" s="146"/>
      <c r="I589" s="146"/>
      <c r="J589" s="146"/>
      <c r="K589" s="146"/>
      <c r="L589" s="146"/>
      <c r="M589" s="146"/>
      <c r="N589" s="146"/>
      <c r="O589" s="146"/>
      <c r="P589" s="146"/>
      <c r="Q589" s="146"/>
      <c r="R589" s="146"/>
      <c r="S589" s="146"/>
      <c r="T589" s="146"/>
      <c r="U589" s="146"/>
      <c r="V589" s="146"/>
      <c r="W589" s="146"/>
      <c r="X589" s="146"/>
      <c r="Y589" s="146"/>
      <c r="Z589" s="146"/>
    </row>
    <row r="590" spans="1:26" ht="15.75" customHeight="1" x14ac:dyDescent="0.25">
      <c r="A590" s="146"/>
      <c r="B590" s="146"/>
      <c r="C590" s="146"/>
      <c r="D590" s="146"/>
      <c r="E590" s="146"/>
      <c r="F590" s="146"/>
      <c r="G590" s="146"/>
      <c r="H590" s="146"/>
      <c r="I590" s="146"/>
      <c r="J590" s="146"/>
      <c r="K590" s="146"/>
      <c r="L590" s="146"/>
      <c r="M590" s="146"/>
      <c r="N590" s="146"/>
      <c r="O590" s="146"/>
      <c r="P590" s="146"/>
      <c r="Q590" s="146"/>
      <c r="R590" s="146"/>
      <c r="S590" s="146"/>
      <c r="T590" s="146"/>
      <c r="U590" s="146"/>
      <c r="V590" s="146"/>
      <c r="W590" s="146"/>
      <c r="X590" s="146"/>
      <c r="Y590" s="146"/>
      <c r="Z590" s="146"/>
    </row>
    <row r="591" spans="1:26" ht="15.75" customHeight="1" x14ac:dyDescent="0.25">
      <c r="A591" s="146"/>
      <c r="B591" s="146"/>
      <c r="C591" s="146"/>
      <c r="D591" s="146"/>
      <c r="E591" s="146"/>
      <c r="F591" s="146"/>
      <c r="G591" s="146"/>
      <c r="H591" s="146"/>
      <c r="I591" s="146"/>
      <c r="J591" s="146"/>
      <c r="K591" s="146"/>
      <c r="L591" s="146"/>
      <c r="M591" s="146"/>
      <c r="N591" s="146"/>
      <c r="O591" s="146"/>
      <c r="P591" s="146"/>
      <c r="Q591" s="146"/>
      <c r="R591" s="146"/>
      <c r="S591" s="146"/>
      <c r="T591" s="146"/>
      <c r="U591" s="146"/>
      <c r="V591" s="146"/>
      <c r="W591" s="146"/>
      <c r="X591" s="146"/>
      <c r="Y591" s="146"/>
      <c r="Z591" s="146"/>
    </row>
    <row r="592" spans="1:26" ht="15.75" customHeight="1" x14ac:dyDescent="0.25">
      <c r="A592" s="146"/>
      <c r="B592" s="146"/>
      <c r="C592" s="146"/>
      <c r="D592" s="146"/>
      <c r="E592" s="146"/>
      <c r="F592" s="146"/>
      <c r="G592" s="146"/>
      <c r="H592" s="146"/>
      <c r="I592" s="146"/>
      <c r="J592" s="146"/>
      <c r="K592" s="146"/>
      <c r="L592" s="146"/>
      <c r="M592" s="146"/>
      <c r="N592" s="146"/>
      <c r="O592" s="146"/>
      <c r="P592" s="146"/>
      <c r="Q592" s="146"/>
      <c r="R592" s="146"/>
      <c r="S592" s="146"/>
      <c r="T592" s="146"/>
      <c r="U592" s="146"/>
      <c r="V592" s="146"/>
      <c r="W592" s="146"/>
      <c r="X592" s="146"/>
      <c r="Y592" s="146"/>
      <c r="Z592" s="146"/>
    </row>
    <row r="593" spans="1:26" ht="15.75" customHeight="1" x14ac:dyDescent="0.25">
      <c r="A593" s="146"/>
      <c r="B593" s="146"/>
      <c r="C593" s="146"/>
      <c r="D593" s="146"/>
      <c r="E593" s="146"/>
      <c r="F593" s="146"/>
      <c r="G593" s="146"/>
      <c r="H593" s="146"/>
      <c r="I593" s="146"/>
      <c r="J593" s="146"/>
      <c r="K593" s="146"/>
      <c r="L593" s="146"/>
      <c r="M593" s="146"/>
      <c r="N593" s="146"/>
      <c r="O593" s="146"/>
      <c r="P593" s="146"/>
      <c r="Q593" s="146"/>
      <c r="R593" s="146"/>
      <c r="S593" s="146"/>
      <c r="T593" s="146"/>
      <c r="U593" s="146"/>
      <c r="V593" s="146"/>
      <c r="W593" s="146"/>
      <c r="X593" s="146"/>
      <c r="Y593" s="146"/>
      <c r="Z593" s="146"/>
    </row>
    <row r="594" spans="1:26" ht="15.75" customHeight="1" x14ac:dyDescent="0.25">
      <c r="A594" s="146"/>
      <c r="B594" s="146"/>
      <c r="C594" s="146"/>
      <c r="D594" s="146"/>
      <c r="E594" s="146"/>
      <c r="F594" s="146"/>
      <c r="G594" s="146"/>
      <c r="H594" s="146"/>
      <c r="I594" s="146"/>
      <c r="J594" s="146"/>
      <c r="K594" s="146"/>
      <c r="L594" s="146"/>
      <c r="M594" s="146"/>
      <c r="N594" s="146"/>
      <c r="O594" s="146"/>
      <c r="P594" s="146"/>
      <c r="Q594" s="146"/>
      <c r="R594" s="146"/>
      <c r="S594" s="146"/>
      <c r="T594" s="146"/>
      <c r="U594" s="146"/>
      <c r="V594" s="146"/>
      <c r="W594" s="146"/>
      <c r="X594" s="146"/>
      <c r="Y594" s="146"/>
      <c r="Z594" s="146"/>
    </row>
    <row r="595" spans="1:26" ht="15.75" customHeight="1" x14ac:dyDescent="0.25">
      <c r="A595" s="146"/>
      <c r="B595" s="146"/>
      <c r="C595" s="146"/>
      <c r="D595" s="146"/>
      <c r="E595" s="146"/>
      <c r="F595" s="146"/>
      <c r="G595" s="146"/>
      <c r="H595" s="146"/>
      <c r="I595" s="146"/>
      <c r="J595" s="146"/>
      <c r="K595" s="146"/>
      <c r="L595" s="146"/>
      <c r="M595" s="146"/>
      <c r="N595" s="146"/>
      <c r="O595" s="146"/>
      <c r="P595" s="146"/>
      <c r="Q595" s="146"/>
      <c r="R595" s="146"/>
      <c r="S595" s="146"/>
      <c r="T595" s="146"/>
      <c r="U595" s="146"/>
      <c r="V595" s="146"/>
      <c r="W595" s="146"/>
      <c r="X595" s="146"/>
      <c r="Y595" s="146"/>
      <c r="Z595" s="146"/>
    </row>
    <row r="596" spans="1:26" ht="15.75" customHeight="1" x14ac:dyDescent="0.25">
      <c r="A596" s="146"/>
      <c r="B596" s="146"/>
      <c r="C596" s="146"/>
      <c r="D596" s="146"/>
      <c r="E596" s="146"/>
      <c r="F596" s="146"/>
      <c r="G596" s="146"/>
      <c r="H596" s="146"/>
      <c r="I596" s="146"/>
      <c r="J596" s="146"/>
      <c r="K596" s="146"/>
      <c r="L596" s="146"/>
      <c r="M596" s="146"/>
      <c r="N596" s="146"/>
      <c r="O596" s="146"/>
      <c r="P596" s="146"/>
      <c r="Q596" s="146"/>
      <c r="R596" s="146"/>
      <c r="S596" s="146"/>
      <c r="T596" s="146"/>
      <c r="U596" s="146"/>
      <c r="V596" s="146"/>
      <c r="W596" s="146"/>
      <c r="X596" s="146"/>
      <c r="Y596" s="146"/>
      <c r="Z596" s="146"/>
    </row>
    <row r="597" spans="1:26" ht="15.75" customHeight="1" x14ac:dyDescent="0.25">
      <c r="A597" s="146"/>
      <c r="B597" s="146"/>
      <c r="C597" s="146"/>
      <c r="D597" s="146"/>
      <c r="E597" s="146"/>
      <c r="F597" s="146"/>
      <c r="G597" s="146"/>
      <c r="H597" s="146"/>
      <c r="I597" s="146"/>
      <c r="J597" s="146"/>
      <c r="K597" s="146"/>
      <c r="L597" s="146"/>
      <c r="M597" s="146"/>
      <c r="N597" s="146"/>
      <c r="O597" s="146"/>
      <c r="P597" s="146"/>
      <c r="Q597" s="146"/>
      <c r="R597" s="146"/>
      <c r="S597" s="146"/>
      <c r="T597" s="146"/>
      <c r="U597" s="146"/>
      <c r="V597" s="146"/>
      <c r="W597" s="146"/>
      <c r="X597" s="146"/>
      <c r="Y597" s="146"/>
      <c r="Z597" s="146"/>
    </row>
    <row r="598" spans="1:26" ht="15.75" customHeight="1" x14ac:dyDescent="0.25">
      <c r="A598" s="146"/>
      <c r="B598" s="146"/>
      <c r="C598" s="146"/>
      <c r="D598" s="146"/>
      <c r="E598" s="146"/>
      <c r="F598" s="146"/>
      <c r="G598" s="146"/>
      <c r="H598" s="146"/>
      <c r="I598" s="146"/>
      <c r="J598" s="146"/>
      <c r="K598" s="146"/>
      <c r="L598" s="146"/>
      <c r="M598" s="146"/>
      <c r="N598" s="146"/>
      <c r="O598" s="146"/>
      <c r="P598" s="146"/>
      <c r="Q598" s="146"/>
      <c r="R598" s="146"/>
      <c r="S598" s="146"/>
      <c r="T598" s="146"/>
      <c r="U598" s="146"/>
      <c r="V598" s="146"/>
      <c r="W598" s="146"/>
      <c r="X598" s="146"/>
      <c r="Y598" s="146"/>
      <c r="Z598" s="146"/>
    </row>
    <row r="599" spans="1:26" ht="15.75" customHeight="1" x14ac:dyDescent="0.25">
      <c r="A599" s="146"/>
      <c r="B599" s="146"/>
      <c r="C599" s="146"/>
      <c r="D599" s="146"/>
      <c r="E599" s="146"/>
      <c r="F599" s="146"/>
      <c r="G599" s="146"/>
      <c r="H599" s="146"/>
      <c r="I599" s="146"/>
      <c r="J599" s="146"/>
      <c r="K599" s="146"/>
      <c r="L599" s="146"/>
      <c r="M599" s="146"/>
      <c r="N599" s="146"/>
      <c r="O599" s="146"/>
      <c r="P599" s="146"/>
      <c r="Q599" s="146"/>
      <c r="R599" s="146"/>
      <c r="S599" s="146"/>
      <c r="T599" s="146"/>
      <c r="U599" s="146"/>
      <c r="V599" s="146"/>
      <c r="W599" s="146"/>
      <c r="X599" s="146"/>
      <c r="Y599" s="146"/>
      <c r="Z599" s="146"/>
    </row>
    <row r="600" spans="1:26" ht="15.75" customHeight="1" x14ac:dyDescent="0.25">
      <c r="A600" s="146"/>
      <c r="B600" s="146"/>
      <c r="C600" s="146"/>
      <c r="D600" s="146"/>
      <c r="E600" s="146"/>
      <c r="F600" s="146"/>
      <c r="G600" s="146"/>
      <c r="H600" s="146"/>
      <c r="I600" s="146"/>
      <c r="J600" s="146"/>
      <c r="K600" s="146"/>
      <c r="L600" s="146"/>
      <c r="M600" s="146"/>
      <c r="N600" s="146"/>
      <c r="O600" s="146"/>
      <c r="P600" s="146"/>
      <c r="Q600" s="146"/>
      <c r="R600" s="146"/>
      <c r="S600" s="146"/>
      <c r="T600" s="146"/>
      <c r="U600" s="146"/>
      <c r="V600" s="146"/>
      <c r="W600" s="146"/>
      <c r="X600" s="146"/>
      <c r="Y600" s="146"/>
      <c r="Z600" s="146"/>
    </row>
    <row r="601" spans="1:26" ht="15.75" customHeight="1" x14ac:dyDescent="0.25">
      <c r="A601" s="146"/>
      <c r="B601" s="146"/>
      <c r="C601" s="146"/>
      <c r="D601" s="146"/>
      <c r="E601" s="146"/>
      <c r="F601" s="146"/>
      <c r="G601" s="146"/>
      <c r="H601" s="146"/>
      <c r="I601" s="146"/>
      <c r="J601" s="146"/>
      <c r="K601" s="146"/>
      <c r="L601" s="146"/>
      <c r="M601" s="146"/>
      <c r="N601" s="146"/>
      <c r="O601" s="146"/>
      <c r="P601" s="146"/>
      <c r="Q601" s="146"/>
      <c r="R601" s="146"/>
      <c r="S601" s="146"/>
      <c r="T601" s="146"/>
      <c r="U601" s="146"/>
      <c r="V601" s="146"/>
      <c r="W601" s="146"/>
      <c r="X601" s="146"/>
      <c r="Y601" s="146"/>
      <c r="Z601" s="146"/>
    </row>
    <row r="602" spans="1:26" ht="15.75" customHeight="1" x14ac:dyDescent="0.25">
      <c r="A602" s="146"/>
      <c r="B602" s="146"/>
      <c r="C602" s="146"/>
      <c r="D602" s="146"/>
      <c r="E602" s="146"/>
      <c r="F602" s="146"/>
      <c r="G602" s="146"/>
      <c r="H602" s="146"/>
      <c r="I602" s="146"/>
      <c r="J602" s="146"/>
      <c r="K602" s="146"/>
      <c r="L602" s="146"/>
      <c r="M602" s="146"/>
      <c r="N602" s="146"/>
      <c r="O602" s="146"/>
      <c r="P602" s="146"/>
      <c r="Q602" s="146"/>
      <c r="R602" s="146"/>
      <c r="S602" s="146"/>
      <c r="T602" s="146"/>
      <c r="U602" s="146"/>
      <c r="V602" s="146"/>
      <c r="W602" s="146"/>
      <c r="X602" s="146"/>
      <c r="Y602" s="146"/>
      <c r="Z602" s="146"/>
    </row>
    <row r="603" spans="1:26" ht="15.75" customHeight="1" x14ac:dyDescent="0.25">
      <c r="A603" s="146"/>
      <c r="B603" s="146"/>
      <c r="C603" s="146"/>
      <c r="D603" s="146"/>
      <c r="E603" s="146"/>
      <c r="F603" s="146"/>
      <c r="G603" s="146"/>
      <c r="H603" s="146"/>
      <c r="I603" s="146"/>
      <c r="J603" s="146"/>
      <c r="K603" s="146"/>
      <c r="L603" s="146"/>
      <c r="M603" s="146"/>
      <c r="N603" s="146"/>
      <c r="O603" s="146"/>
      <c r="P603" s="146"/>
      <c r="Q603" s="146"/>
      <c r="R603" s="146"/>
      <c r="S603" s="146"/>
      <c r="T603" s="146"/>
      <c r="U603" s="146"/>
      <c r="V603" s="146"/>
      <c r="W603" s="146"/>
      <c r="X603" s="146"/>
      <c r="Y603" s="146"/>
      <c r="Z603" s="146"/>
    </row>
    <row r="604" spans="1:26" ht="15.75" customHeight="1" x14ac:dyDescent="0.25">
      <c r="A604" s="146"/>
      <c r="B604" s="146"/>
      <c r="C604" s="146"/>
      <c r="D604" s="146"/>
      <c r="E604" s="146"/>
      <c r="F604" s="146"/>
      <c r="G604" s="146"/>
      <c r="H604" s="146"/>
      <c r="I604" s="146"/>
      <c r="J604" s="146"/>
      <c r="K604" s="146"/>
      <c r="L604" s="146"/>
      <c r="M604" s="146"/>
      <c r="N604" s="146"/>
      <c r="O604" s="146"/>
      <c r="P604" s="146"/>
      <c r="Q604" s="146"/>
      <c r="R604" s="146"/>
      <c r="S604" s="146"/>
      <c r="T604" s="146"/>
      <c r="U604" s="146"/>
      <c r="V604" s="146"/>
      <c r="W604" s="146"/>
      <c r="X604" s="146"/>
      <c r="Y604" s="146"/>
      <c r="Z604" s="146"/>
    </row>
    <row r="605" spans="1:26" ht="15.75" customHeight="1" x14ac:dyDescent="0.25">
      <c r="A605" s="146"/>
      <c r="B605" s="146"/>
      <c r="C605" s="146"/>
      <c r="D605" s="146"/>
      <c r="E605" s="146"/>
      <c r="F605" s="146"/>
      <c r="G605" s="146"/>
      <c r="H605" s="146"/>
      <c r="I605" s="146"/>
      <c r="J605" s="146"/>
      <c r="K605" s="146"/>
      <c r="L605" s="146"/>
      <c r="M605" s="146"/>
      <c r="N605" s="146"/>
      <c r="O605" s="146"/>
      <c r="P605" s="146"/>
      <c r="Q605" s="146"/>
      <c r="R605" s="146"/>
      <c r="S605" s="146"/>
      <c r="T605" s="146"/>
      <c r="U605" s="146"/>
      <c r="V605" s="146"/>
      <c r="W605" s="146"/>
      <c r="X605" s="146"/>
      <c r="Y605" s="146"/>
      <c r="Z605" s="146"/>
    </row>
    <row r="606" spans="1:26" ht="15.75" customHeight="1" x14ac:dyDescent="0.25">
      <c r="A606" s="146"/>
      <c r="B606" s="146"/>
      <c r="C606" s="146"/>
      <c r="D606" s="146"/>
      <c r="E606" s="146"/>
      <c r="F606" s="146"/>
      <c r="G606" s="146"/>
      <c r="H606" s="146"/>
      <c r="I606" s="146"/>
      <c r="J606" s="146"/>
      <c r="K606" s="146"/>
      <c r="L606" s="146"/>
      <c r="M606" s="146"/>
      <c r="N606" s="146"/>
      <c r="O606" s="146"/>
      <c r="P606" s="146"/>
      <c r="Q606" s="146"/>
      <c r="R606" s="146"/>
      <c r="S606" s="146"/>
      <c r="T606" s="146"/>
      <c r="U606" s="146"/>
      <c r="V606" s="146"/>
      <c r="W606" s="146"/>
      <c r="X606" s="146"/>
      <c r="Y606" s="146"/>
      <c r="Z606" s="146"/>
    </row>
    <row r="607" spans="1:26" ht="15.75" customHeight="1" x14ac:dyDescent="0.25">
      <c r="A607" s="146"/>
      <c r="B607" s="146"/>
      <c r="C607" s="146"/>
      <c r="D607" s="146"/>
      <c r="E607" s="146"/>
      <c r="F607" s="146"/>
      <c r="G607" s="146"/>
      <c r="H607" s="146"/>
      <c r="I607" s="146"/>
      <c r="J607" s="146"/>
      <c r="K607" s="146"/>
      <c r="L607" s="146"/>
      <c r="M607" s="146"/>
      <c r="N607" s="146"/>
      <c r="O607" s="146"/>
      <c r="P607" s="146"/>
      <c r="Q607" s="146"/>
      <c r="R607" s="146"/>
      <c r="S607" s="146"/>
      <c r="T607" s="146"/>
      <c r="U607" s="146"/>
      <c r="V607" s="146"/>
      <c r="W607" s="146"/>
      <c r="X607" s="146"/>
      <c r="Y607" s="146"/>
      <c r="Z607" s="146"/>
    </row>
    <row r="608" spans="1:26" ht="15.75" customHeight="1" x14ac:dyDescent="0.25">
      <c r="A608" s="146"/>
      <c r="B608" s="146"/>
      <c r="C608" s="146"/>
      <c r="D608" s="146"/>
      <c r="E608" s="146"/>
      <c r="F608" s="146"/>
      <c r="G608" s="146"/>
      <c r="H608" s="146"/>
      <c r="I608" s="146"/>
      <c r="J608" s="146"/>
      <c r="K608" s="146"/>
      <c r="L608" s="146"/>
      <c r="M608" s="146"/>
      <c r="N608" s="146"/>
      <c r="O608" s="146"/>
      <c r="P608" s="146"/>
      <c r="Q608" s="146"/>
      <c r="R608" s="146"/>
      <c r="S608" s="146"/>
      <c r="T608" s="146"/>
      <c r="U608" s="146"/>
      <c r="V608" s="146"/>
      <c r="W608" s="146"/>
      <c r="X608" s="146"/>
      <c r="Y608" s="146"/>
      <c r="Z608" s="146"/>
    </row>
    <row r="609" spans="1:26" ht="15.75" customHeight="1" x14ac:dyDescent="0.25">
      <c r="A609" s="146"/>
      <c r="B609" s="146"/>
      <c r="C609" s="146"/>
      <c r="D609" s="146"/>
      <c r="E609" s="146"/>
      <c r="F609" s="146"/>
      <c r="G609" s="146"/>
      <c r="H609" s="146"/>
      <c r="I609" s="146"/>
      <c r="J609" s="146"/>
      <c r="K609" s="146"/>
      <c r="L609" s="146"/>
      <c r="M609" s="146"/>
      <c r="N609" s="146"/>
      <c r="O609" s="146"/>
      <c r="P609" s="146"/>
      <c r="Q609" s="146"/>
      <c r="R609" s="146"/>
      <c r="S609" s="146"/>
      <c r="T609" s="146"/>
      <c r="U609" s="146"/>
      <c r="V609" s="146"/>
      <c r="W609" s="146"/>
      <c r="X609" s="146"/>
      <c r="Y609" s="146"/>
      <c r="Z609" s="146"/>
    </row>
    <row r="610" spans="1:26" ht="15.75" customHeight="1" x14ac:dyDescent="0.25">
      <c r="A610" s="146"/>
      <c r="B610" s="146"/>
      <c r="C610" s="146"/>
      <c r="D610" s="146"/>
      <c r="E610" s="146"/>
      <c r="F610" s="146"/>
      <c r="G610" s="146"/>
      <c r="H610" s="146"/>
      <c r="I610" s="146"/>
      <c r="J610" s="146"/>
      <c r="K610" s="146"/>
      <c r="L610" s="146"/>
      <c r="M610" s="146"/>
      <c r="N610" s="146"/>
      <c r="O610" s="146"/>
      <c r="P610" s="146"/>
      <c r="Q610" s="146"/>
      <c r="R610" s="146"/>
      <c r="S610" s="146"/>
      <c r="T610" s="146"/>
      <c r="U610" s="146"/>
      <c r="V610" s="146"/>
      <c r="W610" s="146"/>
      <c r="X610" s="146"/>
      <c r="Y610" s="146"/>
      <c r="Z610" s="146"/>
    </row>
    <row r="611" spans="1:26" ht="15.75" customHeight="1" x14ac:dyDescent="0.25">
      <c r="A611" s="146"/>
      <c r="B611" s="146"/>
      <c r="C611" s="146"/>
      <c r="D611" s="146"/>
      <c r="E611" s="146"/>
      <c r="F611" s="146"/>
      <c r="G611" s="146"/>
      <c r="H611" s="146"/>
      <c r="I611" s="146"/>
      <c r="J611" s="146"/>
      <c r="K611" s="146"/>
      <c r="L611" s="146"/>
      <c r="M611" s="146"/>
      <c r="N611" s="146"/>
      <c r="O611" s="146"/>
      <c r="P611" s="146"/>
      <c r="Q611" s="146"/>
      <c r="R611" s="146"/>
      <c r="S611" s="146"/>
      <c r="T611" s="146"/>
      <c r="U611" s="146"/>
      <c r="V611" s="146"/>
      <c r="W611" s="146"/>
      <c r="X611" s="146"/>
      <c r="Y611" s="146"/>
      <c r="Z611" s="146"/>
    </row>
    <row r="612" spans="1:26" ht="15.75" customHeight="1" x14ac:dyDescent="0.25">
      <c r="A612" s="146"/>
      <c r="B612" s="146"/>
      <c r="C612" s="146"/>
      <c r="D612" s="146"/>
      <c r="E612" s="146"/>
      <c r="F612" s="146"/>
      <c r="G612" s="146"/>
      <c r="H612" s="146"/>
      <c r="I612" s="146"/>
      <c r="J612" s="146"/>
      <c r="K612" s="146"/>
      <c r="L612" s="146"/>
      <c r="M612" s="146"/>
      <c r="N612" s="146"/>
      <c r="O612" s="146"/>
      <c r="P612" s="146"/>
      <c r="Q612" s="146"/>
      <c r="R612" s="146"/>
      <c r="S612" s="146"/>
      <c r="T612" s="146"/>
      <c r="U612" s="146"/>
      <c r="V612" s="146"/>
      <c r="W612" s="146"/>
      <c r="X612" s="146"/>
      <c r="Y612" s="146"/>
      <c r="Z612" s="146"/>
    </row>
    <row r="613" spans="1:26" ht="15.75" customHeight="1" x14ac:dyDescent="0.25">
      <c r="A613" s="146"/>
      <c r="B613" s="146"/>
      <c r="C613" s="146"/>
      <c r="D613" s="146"/>
      <c r="E613" s="146"/>
      <c r="F613" s="146"/>
      <c r="G613" s="146"/>
      <c r="H613" s="146"/>
      <c r="I613" s="146"/>
      <c r="J613" s="146"/>
      <c r="K613" s="146"/>
      <c r="L613" s="146"/>
      <c r="M613" s="146"/>
      <c r="N613" s="146"/>
      <c r="O613" s="146"/>
      <c r="P613" s="146"/>
      <c r="Q613" s="146"/>
      <c r="R613" s="146"/>
      <c r="S613" s="146"/>
      <c r="T613" s="146"/>
      <c r="U613" s="146"/>
      <c r="V613" s="146"/>
      <c r="W613" s="146"/>
      <c r="X613" s="146"/>
      <c r="Y613" s="146"/>
      <c r="Z613" s="146"/>
    </row>
    <row r="614" spans="1:26" ht="15.75" customHeight="1" x14ac:dyDescent="0.25">
      <c r="A614" s="146"/>
      <c r="B614" s="146"/>
      <c r="C614" s="146"/>
      <c r="D614" s="146"/>
      <c r="E614" s="146"/>
      <c r="F614" s="146"/>
      <c r="G614" s="146"/>
      <c r="H614" s="146"/>
      <c r="I614" s="146"/>
      <c r="J614" s="146"/>
      <c r="K614" s="146"/>
      <c r="L614" s="146"/>
      <c r="M614" s="146"/>
      <c r="N614" s="146"/>
      <c r="O614" s="146"/>
      <c r="P614" s="146"/>
      <c r="Q614" s="146"/>
      <c r="R614" s="146"/>
      <c r="S614" s="146"/>
      <c r="T614" s="146"/>
      <c r="U614" s="146"/>
      <c r="V614" s="146"/>
      <c r="W614" s="146"/>
      <c r="X614" s="146"/>
      <c r="Y614" s="146"/>
      <c r="Z614" s="146"/>
    </row>
    <row r="615" spans="1:26" ht="15.75" customHeight="1" x14ac:dyDescent="0.25">
      <c r="A615" s="146"/>
      <c r="B615" s="146"/>
      <c r="C615" s="146"/>
      <c r="D615" s="146"/>
      <c r="E615" s="146"/>
      <c r="F615" s="146"/>
      <c r="G615" s="146"/>
      <c r="H615" s="146"/>
      <c r="I615" s="146"/>
      <c r="J615" s="146"/>
      <c r="K615" s="146"/>
      <c r="L615" s="146"/>
      <c r="M615" s="146"/>
      <c r="N615" s="146"/>
      <c r="O615" s="146"/>
      <c r="P615" s="146"/>
      <c r="Q615" s="146"/>
      <c r="R615" s="146"/>
      <c r="S615" s="146"/>
      <c r="T615" s="146"/>
      <c r="U615" s="146"/>
      <c r="V615" s="146"/>
      <c r="W615" s="146"/>
      <c r="X615" s="146"/>
      <c r="Y615" s="146"/>
      <c r="Z615" s="146"/>
    </row>
    <row r="616" spans="1:26" ht="15.75" customHeight="1" x14ac:dyDescent="0.25">
      <c r="A616" s="146"/>
      <c r="B616" s="146"/>
      <c r="C616" s="146"/>
      <c r="D616" s="146"/>
      <c r="E616" s="146"/>
      <c r="F616" s="146"/>
      <c r="G616" s="146"/>
      <c r="H616" s="146"/>
      <c r="I616" s="146"/>
      <c r="J616" s="146"/>
      <c r="K616" s="146"/>
      <c r="L616" s="146"/>
      <c r="M616" s="146"/>
      <c r="N616" s="146"/>
      <c r="O616" s="146"/>
      <c r="P616" s="146"/>
      <c r="Q616" s="146"/>
      <c r="R616" s="146"/>
      <c r="S616" s="146"/>
      <c r="T616" s="146"/>
      <c r="U616" s="146"/>
      <c r="V616" s="146"/>
      <c r="W616" s="146"/>
      <c r="X616" s="146"/>
      <c r="Y616" s="146"/>
      <c r="Z616" s="146"/>
    </row>
    <row r="617" spans="1:26" ht="15.75" customHeight="1" x14ac:dyDescent="0.25">
      <c r="A617" s="146"/>
      <c r="B617" s="146"/>
      <c r="C617" s="146"/>
      <c r="D617" s="146"/>
      <c r="E617" s="146"/>
      <c r="F617" s="146"/>
      <c r="G617" s="146"/>
      <c r="H617" s="146"/>
      <c r="I617" s="146"/>
      <c r="J617" s="146"/>
      <c r="K617" s="146"/>
      <c r="L617" s="146"/>
      <c r="M617" s="146"/>
      <c r="N617" s="146"/>
      <c r="O617" s="146"/>
      <c r="P617" s="146"/>
      <c r="Q617" s="146"/>
      <c r="R617" s="146"/>
      <c r="S617" s="146"/>
      <c r="T617" s="146"/>
      <c r="U617" s="146"/>
      <c r="V617" s="146"/>
      <c r="W617" s="146"/>
      <c r="X617" s="146"/>
      <c r="Y617" s="146"/>
      <c r="Z617" s="146"/>
    </row>
    <row r="618" spans="1:26" ht="15.75" customHeight="1" x14ac:dyDescent="0.25">
      <c r="A618" s="146"/>
      <c r="B618" s="146"/>
      <c r="C618" s="146"/>
      <c r="D618" s="146"/>
      <c r="E618" s="146"/>
      <c r="F618" s="146"/>
      <c r="G618" s="146"/>
      <c r="H618" s="146"/>
      <c r="I618" s="146"/>
      <c r="J618" s="146"/>
      <c r="K618" s="146"/>
      <c r="L618" s="146"/>
      <c r="M618" s="146"/>
      <c r="N618" s="146"/>
      <c r="O618" s="146"/>
      <c r="P618" s="146"/>
      <c r="Q618" s="146"/>
      <c r="R618" s="146"/>
      <c r="S618" s="146"/>
      <c r="T618" s="146"/>
      <c r="U618" s="146"/>
      <c r="V618" s="146"/>
      <c r="W618" s="146"/>
      <c r="X618" s="146"/>
      <c r="Y618" s="146"/>
      <c r="Z618" s="146"/>
    </row>
    <row r="619" spans="1:26" ht="15.75" customHeight="1" x14ac:dyDescent="0.25">
      <c r="A619" s="146"/>
      <c r="B619" s="146"/>
      <c r="C619" s="146"/>
      <c r="D619" s="146"/>
      <c r="E619" s="146"/>
      <c r="F619" s="146"/>
      <c r="G619" s="146"/>
      <c r="H619" s="146"/>
      <c r="I619" s="146"/>
      <c r="J619" s="146"/>
      <c r="K619" s="146"/>
      <c r="L619" s="146"/>
      <c r="M619" s="146"/>
      <c r="N619" s="146"/>
      <c r="O619" s="146"/>
      <c r="P619" s="146"/>
      <c r="Q619" s="146"/>
      <c r="R619" s="146"/>
      <c r="S619" s="146"/>
      <c r="T619" s="146"/>
      <c r="U619" s="146"/>
      <c r="V619" s="146"/>
      <c r="W619" s="146"/>
      <c r="X619" s="146"/>
      <c r="Y619" s="146"/>
      <c r="Z619" s="146"/>
    </row>
    <row r="620" spans="1:26" ht="15.75" customHeight="1" x14ac:dyDescent="0.25">
      <c r="A620" s="146"/>
      <c r="B620" s="146"/>
      <c r="C620" s="146"/>
      <c r="D620" s="146"/>
      <c r="E620" s="146"/>
      <c r="F620" s="146"/>
      <c r="G620" s="146"/>
      <c r="H620" s="146"/>
      <c r="I620" s="146"/>
      <c r="J620" s="146"/>
      <c r="K620" s="146"/>
      <c r="L620" s="146"/>
      <c r="M620" s="146"/>
      <c r="N620" s="146"/>
      <c r="O620" s="146"/>
      <c r="P620" s="146"/>
      <c r="Q620" s="146"/>
      <c r="R620" s="146"/>
      <c r="S620" s="146"/>
      <c r="T620" s="146"/>
      <c r="U620" s="146"/>
      <c r="V620" s="146"/>
      <c r="W620" s="146"/>
      <c r="X620" s="146"/>
      <c r="Y620" s="146"/>
      <c r="Z620" s="146"/>
    </row>
    <row r="621" spans="1:26" ht="15.75" customHeight="1" x14ac:dyDescent="0.25">
      <c r="A621" s="146"/>
      <c r="B621" s="146"/>
      <c r="C621" s="146"/>
      <c r="D621" s="146"/>
      <c r="E621" s="146"/>
      <c r="F621" s="146"/>
      <c r="G621" s="146"/>
      <c r="H621" s="146"/>
      <c r="I621" s="146"/>
      <c r="J621" s="146"/>
      <c r="K621" s="146"/>
      <c r="L621" s="146"/>
      <c r="M621" s="146"/>
      <c r="N621" s="146"/>
      <c r="O621" s="146"/>
      <c r="P621" s="146"/>
      <c r="Q621" s="146"/>
      <c r="R621" s="146"/>
      <c r="S621" s="146"/>
      <c r="T621" s="146"/>
      <c r="U621" s="146"/>
      <c r="V621" s="146"/>
      <c r="W621" s="146"/>
      <c r="X621" s="146"/>
      <c r="Y621" s="146"/>
      <c r="Z621" s="146"/>
    </row>
    <row r="622" spans="1:26" ht="15.75" customHeight="1" x14ac:dyDescent="0.25">
      <c r="A622" s="146"/>
      <c r="B622" s="146"/>
      <c r="C622" s="146"/>
      <c r="D622" s="146"/>
      <c r="E622" s="146"/>
      <c r="F622" s="146"/>
      <c r="G622" s="146"/>
      <c r="H622" s="146"/>
      <c r="I622" s="146"/>
      <c r="J622" s="146"/>
      <c r="K622" s="146"/>
      <c r="L622" s="146"/>
      <c r="M622" s="146"/>
      <c r="N622" s="146"/>
      <c r="O622" s="146"/>
      <c r="P622" s="146"/>
      <c r="Q622" s="146"/>
      <c r="R622" s="146"/>
      <c r="S622" s="146"/>
      <c r="T622" s="146"/>
      <c r="U622" s="146"/>
      <c r="V622" s="146"/>
      <c r="W622" s="146"/>
      <c r="X622" s="146"/>
      <c r="Y622" s="146"/>
      <c r="Z622" s="146"/>
    </row>
    <row r="623" spans="1:26" ht="15.75" customHeight="1" x14ac:dyDescent="0.25">
      <c r="A623" s="146"/>
      <c r="B623" s="146"/>
      <c r="C623" s="146"/>
      <c r="D623" s="146"/>
      <c r="E623" s="146"/>
      <c r="F623" s="146"/>
      <c r="G623" s="146"/>
      <c r="H623" s="146"/>
      <c r="I623" s="146"/>
      <c r="J623" s="146"/>
      <c r="K623" s="146"/>
      <c r="L623" s="146"/>
      <c r="M623" s="146"/>
      <c r="N623" s="146"/>
      <c r="O623" s="146"/>
      <c r="P623" s="146"/>
      <c r="Q623" s="146"/>
      <c r="R623" s="146"/>
      <c r="S623" s="146"/>
      <c r="T623" s="146"/>
      <c r="U623" s="146"/>
      <c r="V623" s="146"/>
      <c r="W623" s="146"/>
      <c r="X623" s="146"/>
      <c r="Y623" s="146"/>
      <c r="Z623" s="146"/>
    </row>
    <row r="624" spans="1:26" ht="15.75" customHeight="1" x14ac:dyDescent="0.25">
      <c r="A624" s="146"/>
      <c r="B624" s="146"/>
      <c r="C624" s="146"/>
      <c r="D624" s="146"/>
      <c r="E624" s="146"/>
      <c r="F624" s="146"/>
      <c r="G624" s="146"/>
      <c r="H624" s="146"/>
      <c r="I624" s="146"/>
      <c r="J624" s="146"/>
      <c r="K624" s="146"/>
      <c r="L624" s="146"/>
      <c r="M624" s="146"/>
      <c r="N624" s="146"/>
      <c r="O624" s="146"/>
      <c r="P624" s="146"/>
      <c r="Q624" s="146"/>
      <c r="R624" s="146"/>
      <c r="S624" s="146"/>
      <c r="T624" s="146"/>
      <c r="U624" s="146"/>
      <c r="V624" s="146"/>
      <c r="W624" s="146"/>
      <c r="X624" s="146"/>
      <c r="Y624" s="146"/>
      <c r="Z624" s="146"/>
    </row>
    <row r="625" spans="1:26" ht="15.75" customHeight="1" x14ac:dyDescent="0.25">
      <c r="A625" s="146"/>
      <c r="B625" s="146"/>
      <c r="C625" s="146"/>
      <c r="D625" s="146"/>
      <c r="E625" s="146"/>
      <c r="F625" s="146"/>
      <c r="G625" s="146"/>
      <c r="H625" s="146"/>
      <c r="I625" s="146"/>
      <c r="J625" s="146"/>
      <c r="K625" s="146"/>
      <c r="L625" s="146"/>
      <c r="M625" s="146"/>
      <c r="N625" s="146"/>
      <c r="O625" s="146"/>
      <c r="P625" s="146"/>
      <c r="Q625" s="146"/>
      <c r="R625" s="146"/>
      <c r="S625" s="146"/>
      <c r="T625" s="146"/>
      <c r="U625" s="146"/>
      <c r="V625" s="146"/>
      <c r="W625" s="146"/>
      <c r="X625" s="146"/>
      <c r="Y625" s="146"/>
      <c r="Z625" s="146"/>
    </row>
    <row r="626" spans="1:26" ht="15.75" customHeight="1" x14ac:dyDescent="0.25">
      <c r="A626" s="146"/>
      <c r="B626" s="146"/>
      <c r="C626" s="146"/>
      <c r="D626" s="146"/>
      <c r="E626" s="146"/>
      <c r="F626" s="146"/>
      <c r="G626" s="146"/>
      <c r="H626" s="146"/>
      <c r="I626" s="146"/>
      <c r="J626" s="146"/>
      <c r="K626" s="146"/>
      <c r="L626" s="146"/>
      <c r="M626" s="146"/>
      <c r="N626" s="146"/>
      <c r="O626" s="146"/>
      <c r="P626" s="146"/>
      <c r="Q626" s="146"/>
      <c r="R626" s="146"/>
      <c r="S626" s="146"/>
      <c r="T626" s="146"/>
      <c r="U626" s="146"/>
      <c r="V626" s="146"/>
      <c r="W626" s="146"/>
      <c r="X626" s="146"/>
      <c r="Y626" s="146"/>
      <c r="Z626" s="146"/>
    </row>
    <row r="627" spans="1:26" ht="15.75" customHeight="1" x14ac:dyDescent="0.25">
      <c r="A627" s="146"/>
      <c r="B627" s="146"/>
      <c r="C627" s="146"/>
      <c r="D627" s="146"/>
      <c r="E627" s="146"/>
      <c r="F627" s="146"/>
      <c r="G627" s="146"/>
      <c r="H627" s="146"/>
      <c r="I627" s="146"/>
      <c r="J627" s="146"/>
      <c r="K627" s="146"/>
      <c r="L627" s="146"/>
      <c r="M627" s="146"/>
      <c r="N627" s="146"/>
      <c r="O627" s="146"/>
      <c r="P627" s="146"/>
      <c r="Q627" s="146"/>
      <c r="R627" s="146"/>
      <c r="S627" s="146"/>
      <c r="T627" s="146"/>
      <c r="U627" s="146"/>
      <c r="V627" s="146"/>
      <c r="W627" s="146"/>
      <c r="X627" s="146"/>
      <c r="Y627" s="146"/>
      <c r="Z627" s="146"/>
    </row>
    <row r="628" spans="1:26" ht="15.75" customHeight="1" x14ac:dyDescent="0.25">
      <c r="A628" s="146"/>
      <c r="B628" s="146"/>
      <c r="C628" s="146"/>
      <c r="D628" s="146"/>
      <c r="E628" s="146"/>
      <c r="F628" s="146"/>
      <c r="G628" s="146"/>
      <c r="H628" s="146"/>
      <c r="I628" s="146"/>
      <c r="J628" s="146"/>
      <c r="K628" s="146"/>
      <c r="L628" s="146"/>
      <c r="M628" s="146"/>
      <c r="N628" s="146"/>
      <c r="O628" s="146"/>
      <c r="P628" s="146"/>
      <c r="Q628" s="146"/>
      <c r="R628" s="146"/>
      <c r="S628" s="146"/>
      <c r="T628" s="146"/>
      <c r="U628" s="146"/>
      <c r="V628" s="146"/>
      <c r="W628" s="146"/>
      <c r="X628" s="146"/>
      <c r="Y628" s="146"/>
      <c r="Z628" s="146"/>
    </row>
    <row r="629" spans="1:26" ht="15.75" customHeight="1" x14ac:dyDescent="0.25">
      <c r="A629" s="146"/>
      <c r="B629" s="146"/>
      <c r="C629" s="146"/>
      <c r="D629" s="146"/>
      <c r="E629" s="146"/>
      <c r="F629" s="146"/>
      <c r="G629" s="146"/>
      <c r="H629" s="146"/>
      <c r="I629" s="146"/>
      <c r="J629" s="146"/>
      <c r="K629" s="146"/>
      <c r="L629" s="146"/>
      <c r="M629" s="146"/>
      <c r="N629" s="146"/>
      <c r="O629" s="146"/>
      <c r="P629" s="146"/>
      <c r="Q629" s="146"/>
      <c r="R629" s="146"/>
      <c r="S629" s="146"/>
      <c r="T629" s="146"/>
      <c r="U629" s="146"/>
      <c r="V629" s="146"/>
      <c r="W629" s="146"/>
      <c r="X629" s="146"/>
      <c r="Y629" s="146"/>
      <c r="Z629" s="146"/>
    </row>
    <row r="630" spans="1:26" ht="15.75" customHeight="1" x14ac:dyDescent="0.25">
      <c r="A630" s="146"/>
      <c r="B630" s="146"/>
      <c r="C630" s="146"/>
      <c r="D630" s="146"/>
      <c r="E630" s="146"/>
      <c r="F630" s="146"/>
      <c r="G630" s="146"/>
      <c r="H630" s="146"/>
      <c r="I630" s="146"/>
      <c r="J630" s="146"/>
      <c r="K630" s="146"/>
      <c r="L630" s="146"/>
      <c r="M630" s="146"/>
      <c r="N630" s="146"/>
      <c r="O630" s="146"/>
      <c r="P630" s="146"/>
      <c r="Q630" s="146"/>
      <c r="R630" s="146"/>
      <c r="S630" s="146"/>
      <c r="T630" s="146"/>
      <c r="U630" s="146"/>
      <c r="V630" s="146"/>
      <c r="W630" s="146"/>
      <c r="X630" s="146"/>
      <c r="Y630" s="146"/>
      <c r="Z630" s="146"/>
    </row>
    <row r="631" spans="1:26" ht="15.75" customHeight="1" x14ac:dyDescent="0.25">
      <c r="A631" s="146"/>
      <c r="B631" s="146"/>
      <c r="C631" s="146"/>
      <c r="D631" s="146"/>
      <c r="E631" s="146"/>
      <c r="F631" s="146"/>
      <c r="G631" s="146"/>
      <c r="H631" s="146"/>
      <c r="I631" s="146"/>
      <c r="J631" s="146"/>
      <c r="K631" s="146"/>
      <c r="L631" s="146"/>
      <c r="M631" s="146"/>
      <c r="N631" s="146"/>
      <c r="O631" s="146"/>
      <c r="P631" s="146"/>
      <c r="Q631" s="146"/>
      <c r="R631" s="146"/>
      <c r="S631" s="146"/>
      <c r="T631" s="146"/>
      <c r="U631" s="146"/>
      <c r="V631" s="146"/>
      <c r="W631" s="146"/>
      <c r="X631" s="146"/>
      <c r="Y631" s="146"/>
      <c r="Z631" s="146"/>
    </row>
    <row r="632" spans="1:26" ht="15.75" customHeight="1" x14ac:dyDescent="0.25">
      <c r="A632" s="146"/>
      <c r="B632" s="146"/>
      <c r="C632" s="146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  <c r="R632" s="146"/>
      <c r="S632" s="146"/>
      <c r="T632" s="146"/>
      <c r="U632" s="146"/>
      <c r="V632" s="146"/>
      <c r="W632" s="146"/>
      <c r="X632" s="146"/>
      <c r="Y632" s="146"/>
      <c r="Z632" s="146"/>
    </row>
    <row r="633" spans="1:26" ht="15.75" customHeight="1" x14ac:dyDescent="0.25">
      <c r="A633" s="146"/>
      <c r="B633" s="146"/>
      <c r="C633" s="146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  <c r="R633" s="146"/>
      <c r="S633" s="146"/>
      <c r="T633" s="146"/>
      <c r="U633" s="146"/>
      <c r="V633" s="146"/>
      <c r="W633" s="146"/>
      <c r="X633" s="146"/>
      <c r="Y633" s="146"/>
      <c r="Z633" s="146"/>
    </row>
    <row r="634" spans="1:26" ht="15.75" customHeight="1" x14ac:dyDescent="0.25">
      <c r="A634" s="146"/>
      <c r="B634" s="146"/>
      <c r="C634" s="146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  <c r="R634" s="146"/>
      <c r="S634" s="146"/>
      <c r="T634" s="146"/>
      <c r="U634" s="146"/>
      <c r="V634" s="146"/>
      <c r="W634" s="146"/>
      <c r="X634" s="146"/>
      <c r="Y634" s="146"/>
      <c r="Z634" s="146"/>
    </row>
    <row r="635" spans="1:26" ht="15.75" customHeight="1" x14ac:dyDescent="0.25">
      <c r="A635" s="146"/>
      <c r="B635" s="146"/>
      <c r="C635" s="146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  <c r="R635" s="146"/>
      <c r="S635" s="146"/>
      <c r="T635" s="146"/>
      <c r="U635" s="146"/>
      <c r="V635" s="146"/>
      <c r="W635" s="146"/>
      <c r="X635" s="146"/>
      <c r="Y635" s="146"/>
      <c r="Z635" s="146"/>
    </row>
    <row r="636" spans="1:26" ht="15.75" customHeight="1" x14ac:dyDescent="0.25">
      <c r="A636" s="146"/>
      <c r="B636" s="146"/>
      <c r="C636" s="146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  <c r="R636" s="146"/>
      <c r="S636" s="146"/>
      <c r="T636" s="146"/>
      <c r="U636" s="146"/>
      <c r="V636" s="146"/>
      <c r="W636" s="146"/>
      <c r="X636" s="146"/>
      <c r="Y636" s="146"/>
      <c r="Z636" s="146"/>
    </row>
    <row r="637" spans="1:26" ht="15.75" customHeight="1" x14ac:dyDescent="0.25">
      <c r="A637" s="146"/>
      <c r="B637" s="146"/>
      <c r="C637" s="146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  <c r="R637" s="146"/>
      <c r="S637" s="146"/>
      <c r="T637" s="146"/>
      <c r="U637" s="146"/>
      <c r="V637" s="146"/>
      <c r="W637" s="146"/>
      <c r="X637" s="146"/>
      <c r="Y637" s="146"/>
      <c r="Z637" s="146"/>
    </row>
    <row r="638" spans="1:26" ht="15.75" customHeight="1" x14ac:dyDescent="0.25">
      <c r="A638" s="146"/>
      <c r="B638" s="146"/>
      <c r="C638" s="146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  <c r="R638" s="146"/>
      <c r="S638" s="146"/>
      <c r="T638" s="146"/>
      <c r="U638" s="146"/>
      <c r="V638" s="146"/>
      <c r="W638" s="146"/>
      <c r="X638" s="146"/>
      <c r="Y638" s="146"/>
      <c r="Z638" s="146"/>
    </row>
    <row r="639" spans="1:26" ht="15.75" customHeight="1" x14ac:dyDescent="0.25">
      <c r="A639" s="146"/>
      <c r="B639" s="146"/>
      <c r="C639" s="146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  <c r="R639" s="146"/>
      <c r="S639" s="146"/>
      <c r="T639" s="146"/>
      <c r="U639" s="146"/>
      <c r="V639" s="146"/>
      <c r="W639" s="146"/>
      <c r="X639" s="146"/>
      <c r="Y639" s="146"/>
      <c r="Z639" s="146"/>
    </row>
    <row r="640" spans="1:26" ht="15.75" customHeight="1" x14ac:dyDescent="0.25">
      <c r="A640" s="146"/>
      <c r="B640" s="146"/>
      <c r="C640" s="146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  <c r="R640" s="146"/>
      <c r="S640" s="146"/>
      <c r="T640" s="146"/>
      <c r="U640" s="146"/>
      <c r="V640" s="146"/>
      <c r="W640" s="146"/>
      <c r="X640" s="146"/>
      <c r="Y640" s="146"/>
      <c r="Z640" s="146"/>
    </row>
    <row r="641" spans="1:26" ht="15.75" customHeight="1" x14ac:dyDescent="0.25">
      <c r="A641" s="146"/>
      <c r="B641" s="146"/>
      <c r="C641" s="146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  <c r="R641" s="146"/>
      <c r="S641" s="146"/>
      <c r="T641" s="146"/>
      <c r="U641" s="146"/>
      <c r="V641" s="146"/>
      <c r="W641" s="146"/>
      <c r="X641" s="146"/>
      <c r="Y641" s="146"/>
      <c r="Z641" s="146"/>
    </row>
    <row r="642" spans="1:26" ht="15.75" customHeight="1" x14ac:dyDescent="0.25">
      <c r="A642" s="146"/>
      <c r="B642" s="146"/>
      <c r="C642" s="146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  <c r="R642" s="146"/>
      <c r="S642" s="146"/>
      <c r="T642" s="146"/>
      <c r="U642" s="146"/>
      <c r="V642" s="146"/>
      <c r="W642" s="146"/>
      <c r="X642" s="146"/>
      <c r="Y642" s="146"/>
      <c r="Z642" s="146"/>
    </row>
    <row r="643" spans="1:26" ht="15.75" customHeight="1" x14ac:dyDescent="0.25">
      <c r="A643" s="146"/>
      <c r="B643" s="146"/>
      <c r="C643" s="146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  <c r="R643" s="146"/>
      <c r="S643" s="146"/>
      <c r="T643" s="146"/>
      <c r="U643" s="146"/>
      <c r="V643" s="146"/>
      <c r="W643" s="146"/>
      <c r="X643" s="146"/>
      <c r="Y643" s="146"/>
      <c r="Z643" s="146"/>
    </row>
    <row r="644" spans="1:26" ht="15.75" customHeight="1" x14ac:dyDescent="0.25">
      <c r="A644" s="146"/>
      <c r="B644" s="146"/>
      <c r="C644" s="146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  <c r="R644" s="146"/>
      <c r="S644" s="146"/>
      <c r="T644" s="146"/>
      <c r="U644" s="146"/>
      <c r="V644" s="146"/>
      <c r="W644" s="146"/>
      <c r="X644" s="146"/>
      <c r="Y644" s="146"/>
      <c r="Z644" s="146"/>
    </row>
    <row r="645" spans="1:26" ht="15.75" customHeight="1" x14ac:dyDescent="0.25">
      <c r="A645" s="146"/>
      <c r="B645" s="146"/>
      <c r="C645" s="146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  <c r="R645" s="146"/>
      <c r="S645" s="146"/>
      <c r="T645" s="146"/>
      <c r="U645" s="146"/>
      <c r="V645" s="146"/>
      <c r="W645" s="146"/>
      <c r="X645" s="146"/>
      <c r="Y645" s="146"/>
      <c r="Z645" s="146"/>
    </row>
    <row r="646" spans="1:26" ht="15.75" customHeight="1" x14ac:dyDescent="0.25">
      <c r="A646" s="146"/>
      <c r="B646" s="146"/>
      <c r="C646" s="146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  <c r="R646" s="146"/>
      <c r="S646" s="146"/>
      <c r="T646" s="146"/>
      <c r="U646" s="146"/>
      <c r="V646" s="146"/>
      <c r="W646" s="146"/>
      <c r="X646" s="146"/>
      <c r="Y646" s="146"/>
      <c r="Z646" s="146"/>
    </row>
    <row r="647" spans="1:26" ht="15.75" customHeight="1" x14ac:dyDescent="0.25">
      <c r="A647" s="146"/>
      <c r="B647" s="146"/>
      <c r="C647" s="146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  <c r="R647" s="146"/>
      <c r="S647" s="146"/>
      <c r="T647" s="146"/>
      <c r="U647" s="146"/>
      <c r="V647" s="146"/>
      <c r="W647" s="146"/>
      <c r="X647" s="146"/>
      <c r="Y647" s="146"/>
      <c r="Z647" s="146"/>
    </row>
    <row r="648" spans="1:26" ht="15.75" customHeight="1" x14ac:dyDescent="0.25">
      <c r="A648" s="146"/>
      <c r="B648" s="146"/>
      <c r="C648" s="146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  <c r="R648" s="146"/>
      <c r="S648" s="146"/>
      <c r="T648" s="146"/>
      <c r="U648" s="146"/>
      <c r="V648" s="146"/>
      <c r="W648" s="146"/>
      <c r="X648" s="146"/>
      <c r="Y648" s="146"/>
      <c r="Z648" s="146"/>
    </row>
    <row r="649" spans="1:26" ht="15.75" customHeight="1" x14ac:dyDescent="0.25">
      <c r="A649" s="146"/>
      <c r="B649" s="146"/>
      <c r="C649" s="146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  <c r="R649" s="146"/>
      <c r="S649" s="146"/>
      <c r="T649" s="146"/>
      <c r="U649" s="146"/>
      <c r="V649" s="146"/>
      <c r="W649" s="146"/>
      <c r="X649" s="146"/>
      <c r="Y649" s="146"/>
      <c r="Z649" s="146"/>
    </row>
    <row r="650" spans="1:26" ht="15.75" customHeight="1" x14ac:dyDescent="0.25">
      <c r="A650" s="146"/>
      <c r="B650" s="146"/>
      <c r="C650" s="146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  <c r="R650" s="146"/>
      <c r="S650" s="146"/>
      <c r="T650" s="146"/>
      <c r="U650" s="146"/>
      <c r="V650" s="146"/>
      <c r="W650" s="146"/>
      <c r="X650" s="146"/>
      <c r="Y650" s="146"/>
      <c r="Z650" s="146"/>
    </row>
    <row r="651" spans="1:26" ht="15.75" customHeight="1" x14ac:dyDescent="0.25">
      <c r="A651" s="146"/>
      <c r="B651" s="146"/>
      <c r="C651" s="146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  <c r="R651" s="146"/>
      <c r="S651" s="146"/>
      <c r="T651" s="146"/>
      <c r="U651" s="146"/>
      <c r="V651" s="146"/>
      <c r="W651" s="146"/>
      <c r="X651" s="146"/>
      <c r="Y651" s="146"/>
      <c r="Z651" s="146"/>
    </row>
    <row r="652" spans="1:26" ht="15.75" customHeight="1" x14ac:dyDescent="0.25">
      <c r="A652" s="146"/>
      <c r="B652" s="146"/>
      <c r="C652" s="146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  <c r="R652" s="146"/>
      <c r="S652" s="146"/>
      <c r="T652" s="146"/>
      <c r="U652" s="146"/>
      <c r="V652" s="146"/>
      <c r="W652" s="146"/>
      <c r="X652" s="146"/>
      <c r="Y652" s="146"/>
      <c r="Z652" s="146"/>
    </row>
    <row r="653" spans="1:26" ht="15.75" customHeight="1" x14ac:dyDescent="0.25">
      <c r="A653" s="146"/>
      <c r="B653" s="146"/>
      <c r="C653" s="146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  <c r="R653" s="146"/>
      <c r="S653" s="146"/>
      <c r="T653" s="146"/>
      <c r="U653" s="146"/>
      <c r="V653" s="146"/>
      <c r="W653" s="146"/>
      <c r="X653" s="146"/>
      <c r="Y653" s="146"/>
      <c r="Z653" s="146"/>
    </row>
    <row r="654" spans="1:26" ht="15.75" customHeight="1" x14ac:dyDescent="0.25">
      <c r="A654" s="146"/>
      <c r="B654" s="146"/>
      <c r="C654" s="146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  <c r="R654" s="146"/>
      <c r="S654" s="146"/>
      <c r="T654" s="146"/>
      <c r="U654" s="146"/>
      <c r="V654" s="146"/>
      <c r="W654" s="146"/>
      <c r="X654" s="146"/>
      <c r="Y654" s="146"/>
      <c r="Z654" s="146"/>
    </row>
    <row r="655" spans="1:26" ht="15.75" customHeight="1" x14ac:dyDescent="0.25">
      <c r="A655" s="146"/>
      <c r="B655" s="146"/>
      <c r="C655" s="146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  <c r="R655" s="146"/>
      <c r="S655" s="146"/>
      <c r="T655" s="146"/>
      <c r="U655" s="146"/>
      <c r="V655" s="146"/>
      <c r="W655" s="146"/>
      <c r="X655" s="146"/>
      <c r="Y655" s="146"/>
      <c r="Z655" s="146"/>
    </row>
    <row r="656" spans="1:26" ht="15.75" customHeight="1" x14ac:dyDescent="0.25">
      <c r="A656" s="146"/>
      <c r="B656" s="146"/>
      <c r="C656" s="146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  <c r="R656" s="146"/>
      <c r="S656" s="146"/>
      <c r="T656" s="146"/>
      <c r="U656" s="146"/>
      <c r="V656" s="146"/>
      <c r="W656" s="146"/>
      <c r="X656" s="146"/>
      <c r="Y656" s="146"/>
      <c r="Z656" s="146"/>
    </row>
    <row r="657" spans="1:26" ht="15.75" customHeight="1" x14ac:dyDescent="0.25">
      <c r="A657" s="146"/>
      <c r="B657" s="146"/>
      <c r="C657" s="146"/>
      <c r="D657" s="146"/>
      <c r="E657" s="146"/>
      <c r="F657" s="146"/>
      <c r="G657" s="146"/>
      <c r="H657" s="146"/>
      <c r="I657" s="146"/>
      <c r="J657" s="146"/>
      <c r="K657" s="146"/>
      <c r="L657" s="146"/>
      <c r="M657" s="146"/>
      <c r="N657" s="146"/>
      <c r="O657" s="146"/>
      <c r="P657" s="146"/>
      <c r="Q657" s="146"/>
      <c r="R657" s="146"/>
      <c r="S657" s="146"/>
      <c r="T657" s="146"/>
      <c r="U657" s="146"/>
      <c r="V657" s="146"/>
      <c r="W657" s="146"/>
      <c r="X657" s="146"/>
      <c r="Y657" s="146"/>
      <c r="Z657" s="146"/>
    </row>
    <row r="658" spans="1:26" ht="15.75" customHeight="1" x14ac:dyDescent="0.25">
      <c r="A658" s="146"/>
      <c r="B658" s="146"/>
      <c r="C658" s="146"/>
      <c r="D658" s="146"/>
      <c r="E658" s="146"/>
      <c r="F658" s="146"/>
      <c r="G658" s="146"/>
      <c r="H658" s="146"/>
      <c r="I658" s="146"/>
      <c r="J658" s="146"/>
      <c r="K658" s="146"/>
      <c r="L658" s="146"/>
      <c r="M658" s="146"/>
      <c r="N658" s="146"/>
      <c r="O658" s="146"/>
      <c r="P658" s="146"/>
      <c r="Q658" s="146"/>
      <c r="R658" s="146"/>
      <c r="S658" s="146"/>
      <c r="T658" s="146"/>
      <c r="U658" s="146"/>
      <c r="V658" s="146"/>
      <c r="W658" s="146"/>
      <c r="X658" s="146"/>
      <c r="Y658" s="146"/>
      <c r="Z658" s="146"/>
    </row>
    <row r="659" spans="1:26" ht="15.75" customHeight="1" x14ac:dyDescent="0.25">
      <c r="A659" s="146"/>
      <c r="B659" s="146"/>
      <c r="C659" s="146"/>
      <c r="D659" s="146"/>
      <c r="E659" s="146"/>
      <c r="F659" s="146"/>
      <c r="G659" s="146"/>
      <c r="H659" s="146"/>
      <c r="I659" s="146"/>
      <c r="J659" s="146"/>
      <c r="K659" s="146"/>
      <c r="L659" s="146"/>
      <c r="M659" s="146"/>
      <c r="N659" s="146"/>
      <c r="O659" s="146"/>
      <c r="P659" s="146"/>
      <c r="Q659" s="146"/>
      <c r="R659" s="146"/>
      <c r="S659" s="146"/>
      <c r="T659" s="146"/>
      <c r="U659" s="146"/>
      <c r="V659" s="146"/>
      <c r="W659" s="146"/>
      <c r="X659" s="146"/>
      <c r="Y659" s="146"/>
      <c r="Z659" s="146"/>
    </row>
    <row r="660" spans="1:26" ht="15.75" customHeight="1" x14ac:dyDescent="0.25">
      <c r="A660" s="146"/>
      <c r="B660" s="146"/>
      <c r="C660" s="146"/>
      <c r="D660" s="146"/>
      <c r="E660" s="146"/>
      <c r="F660" s="146"/>
      <c r="G660" s="146"/>
      <c r="H660" s="146"/>
      <c r="I660" s="146"/>
      <c r="J660" s="146"/>
      <c r="K660" s="146"/>
      <c r="L660" s="146"/>
      <c r="M660" s="146"/>
      <c r="N660" s="146"/>
      <c r="O660" s="146"/>
      <c r="P660" s="146"/>
      <c r="Q660" s="146"/>
      <c r="R660" s="146"/>
      <c r="S660" s="146"/>
      <c r="T660" s="146"/>
      <c r="U660" s="146"/>
      <c r="V660" s="146"/>
      <c r="W660" s="146"/>
      <c r="X660" s="146"/>
      <c r="Y660" s="146"/>
      <c r="Z660" s="146"/>
    </row>
    <row r="661" spans="1:26" ht="15.75" customHeight="1" x14ac:dyDescent="0.25">
      <c r="A661" s="146"/>
      <c r="B661" s="146"/>
      <c r="C661" s="146"/>
      <c r="D661" s="146"/>
      <c r="E661" s="146"/>
      <c r="F661" s="146"/>
      <c r="G661" s="146"/>
      <c r="H661" s="146"/>
      <c r="I661" s="146"/>
      <c r="J661" s="146"/>
      <c r="K661" s="146"/>
      <c r="L661" s="146"/>
      <c r="M661" s="146"/>
      <c r="N661" s="146"/>
      <c r="O661" s="146"/>
      <c r="P661" s="146"/>
      <c r="Q661" s="146"/>
      <c r="R661" s="146"/>
      <c r="S661" s="146"/>
      <c r="T661" s="146"/>
      <c r="U661" s="146"/>
      <c r="V661" s="146"/>
      <c r="W661" s="146"/>
      <c r="X661" s="146"/>
      <c r="Y661" s="146"/>
      <c r="Z661" s="146"/>
    </row>
    <row r="662" spans="1:26" ht="15.75" customHeight="1" x14ac:dyDescent="0.25">
      <c r="A662" s="146"/>
      <c r="B662" s="146"/>
      <c r="C662" s="146"/>
      <c r="D662" s="146"/>
      <c r="E662" s="146"/>
      <c r="F662" s="146"/>
      <c r="G662" s="146"/>
      <c r="H662" s="146"/>
      <c r="I662" s="146"/>
      <c r="J662" s="146"/>
      <c r="K662" s="146"/>
      <c r="L662" s="146"/>
      <c r="M662" s="146"/>
      <c r="N662" s="146"/>
      <c r="O662" s="146"/>
      <c r="P662" s="146"/>
      <c r="Q662" s="146"/>
      <c r="R662" s="146"/>
      <c r="S662" s="146"/>
      <c r="T662" s="146"/>
      <c r="U662" s="146"/>
      <c r="V662" s="146"/>
      <c r="W662" s="146"/>
      <c r="X662" s="146"/>
      <c r="Y662" s="146"/>
      <c r="Z662" s="146"/>
    </row>
    <row r="663" spans="1:26" ht="15.75" customHeight="1" x14ac:dyDescent="0.25">
      <c r="A663" s="146"/>
      <c r="B663" s="146"/>
      <c r="C663" s="146"/>
      <c r="D663" s="146"/>
      <c r="E663" s="146"/>
      <c r="F663" s="146"/>
      <c r="G663" s="146"/>
      <c r="H663" s="146"/>
      <c r="I663" s="146"/>
      <c r="J663" s="146"/>
      <c r="K663" s="146"/>
      <c r="L663" s="146"/>
      <c r="M663" s="146"/>
      <c r="N663" s="146"/>
      <c r="O663" s="146"/>
      <c r="P663" s="146"/>
      <c r="Q663" s="146"/>
      <c r="R663" s="146"/>
      <c r="S663" s="146"/>
      <c r="T663" s="146"/>
      <c r="U663" s="146"/>
      <c r="V663" s="146"/>
      <c r="W663" s="146"/>
      <c r="X663" s="146"/>
      <c r="Y663" s="146"/>
      <c r="Z663" s="146"/>
    </row>
    <row r="664" spans="1:26" ht="15.75" customHeight="1" x14ac:dyDescent="0.25">
      <c r="A664" s="146"/>
      <c r="B664" s="146"/>
      <c r="C664" s="146"/>
      <c r="D664" s="146"/>
      <c r="E664" s="146"/>
      <c r="F664" s="146"/>
      <c r="G664" s="146"/>
      <c r="H664" s="146"/>
      <c r="I664" s="146"/>
      <c r="J664" s="146"/>
      <c r="K664" s="146"/>
      <c r="L664" s="146"/>
      <c r="M664" s="146"/>
      <c r="N664" s="146"/>
      <c r="O664" s="146"/>
      <c r="P664" s="146"/>
      <c r="Q664" s="146"/>
      <c r="R664" s="146"/>
      <c r="S664" s="146"/>
      <c r="T664" s="146"/>
      <c r="U664" s="146"/>
      <c r="V664" s="146"/>
      <c r="W664" s="146"/>
      <c r="X664" s="146"/>
      <c r="Y664" s="146"/>
      <c r="Z664" s="146"/>
    </row>
    <row r="665" spans="1:26" ht="15.75" customHeight="1" x14ac:dyDescent="0.25">
      <c r="A665" s="146"/>
      <c r="B665" s="146"/>
      <c r="C665" s="146"/>
      <c r="D665" s="146"/>
      <c r="E665" s="146"/>
      <c r="F665" s="146"/>
      <c r="G665" s="146"/>
      <c r="H665" s="146"/>
      <c r="I665" s="146"/>
      <c r="J665" s="146"/>
      <c r="K665" s="146"/>
      <c r="L665" s="146"/>
      <c r="M665" s="146"/>
      <c r="N665" s="146"/>
      <c r="O665" s="146"/>
      <c r="P665" s="146"/>
      <c r="Q665" s="146"/>
      <c r="R665" s="146"/>
      <c r="S665" s="146"/>
      <c r="T665" s="146"/>
      <c r="U665" s="146"/>
      <c r="V665" s="146"/>
      <c r="W665" s="146"/>
      <c r="X665" s="146"/>
      <c r="Y665" s="146"/>
      <c r="Z665" s="146"/>
    </row>
    <row r="666" spans="1:26" ht="15.75" customHeight="1" x14ac:dyDescent="0.25">
      <c r="A666" s="146"/>
      <c r="B666" s="146"/>
      <c r="C666" s="146"/>
      <c r="D666" s="146"/>
      <c r="E666" s="146"/>
      <c r="F666" s="146"/>
      <c r="G666" s="146"/>
      <c r="H666" s="146"/>
      <c r="I666" s="146"/>
      <c r="J666" s="146"/>
      <c r="K666" s="146"/>
      <c r="L666" s="146"/>
      <c r="M666" s="146"/>
      <c r="N666" s="146"/>
      <c r="O666" s="146"/>
      <c r="P666" s="146"/>
      <c r="Q666" s="146"/>
      <c r="R666" s="146"/>
      <c r="S666" s="146"/>
      <c r="T666" s="146"/>
      <c r="U666" s="146"/>
      <c r="V666" s="146"/>
      <c r="W666" s="146"/>
      <c r="X666" s="146"/>
      <c r="Y666" s="146"/>
      <c r="Z666" s="146"/>
    </row>
    <row r="667" spans="1:26" ht="15.75" customHeight="1" x14ac:dyDescent="0.25">
      <c r="A667" s="146"/>
      <c r="B667" s="146"/>
      <c r="C667" s="146"/>
      <c r="D667" s="146"/>
      <c r="E667" s="146"/>
      <c r="F667" s="146"/>
      <c r="G667" s="146"/>
      <c r="H667" s="146"/>
      <c r="I667" s="146"/>
      <c r="J667" s="146"/>
      <c r="K667" s="146"/>
      <c r="L667" s="146"/>
      <c r="M667" s="146"/>
      <c r="N667" s="146"/>
      <c r="O667" s="146"/>
      <c r="P667" s="146"/>
      <c r="Q667" s="146"/>
      <c r="R667" s="146"/>
      <c r="S667" s="146"/>
      <c r="T667" s="146"/>
      <c r="U667" s="146"/>
      <c r="V667" s="146"/>
      <c r="W667" s="146"/>
      <c r="X667" s="146"/>
      <c r="Y667" s="146"/>
      <c r="Z667" s="146"/>
    </row>
    <row r="668" spans="1:26" ht="15.75" customHeight="1" x14ac:dyDescent="0.25">
      <c r="A668" s="146"/>
      <c r="B668" s="146"/>
      <c r="C668" s="146"/>
      <c r="D668" s="146"/>
      <c r="E668" s="146"/>
      <c r="F668" s="146"/>
      <c r="G668" s="146"/>
      <c r="H668" s="146"/>
      <c r="I668" s="146"/>
      <c r="J668" s="146"/>
      <c r="K668" s="146"/>
      <c r="L668" s="146"/>
      <c r="M668" s="146"/>
      <c r="N668" s="146"/>
      <c r="O668" s="146"/>
      <c r="P668" s="146"/>
      <c r="Q668" s="146"/>
      <c r="R668" s="146"/>
      <c r="S668" s="146"/>
      <c r="T668" s="146"/>
      <c r="U668" s="146"/>
      <c r="V668" s="146"/>
      <c r="W668" s="146"/>
      <c r="X668" s="146"/>
      <c r="Y668" s="146"/>
      <c r="Z668" s="146"/>
    </row>
    <row r="669" spans="1:26" ht="15.75" customHeight="1" x14ac:dyDescent="0.25">
      <c r="A669" s="146"/>
      <c r="B669" s="146"/>
      <c r="C669" s="146"/>
      <c r="D669" s="146"/>
      <c r="E669" s="146"/>
      <c r="F669" s="146"/>
      <c r="G669" s="146"/>
      <c r="H669" s="146"/>
      <c r="I669" s="146"/>
      <c r="J669" s="146"/>
      <c r="K669" s="146"/>
      <c r="L669" s="146"/>
      <c r="M669" s="146"/>
      <c r="N669" s="146"/>
      <c r="O669" s="146"/>
      <c r="P669" s="146"/>
      <c r="Q669" s="146"/>
      <c r="R669" s="146"/>
      <c r="S669" s="146"/>
      <c r="T669" s="146"/>
      <c r="U669" s="146"/>
      <c r="V669" s="146"/>
      <c r="W669" s="146"/>
      <c r="X669" s="146"/>
      <c r="Y669" s="146"/>
      <c r="Z669" s="146"/>
    </row>
    <row r="670" spans="1:26" ht="15.75" customHeight="1" x14ac:dyDescent="0.25">
      <c r="A670" s="146"/>
      <c r="B670" s="146"/>
      <c r="C670" s="146"/>
      <c r="D670" s="146"/>
      <c r="E670" s="146"/>
      <c r="F670" s="146"/>
      <c r="G670" s="146"/>
      <c r="H670" s="146"/>
      <c r="I670" s="146"/>
      <c r="J670" s="146"/>
      <c r="K670" s="146"/>
      <c r="L670" s="146"/>
      <c r="M670" s="146"/>
      <c r="N670" s="146"/>
      <c r="O670" s="146"/>
      <c r="P670" s="146"/>
      <c r="Q670" s="146"/>
      <c r="R670" s="146"/>
      <c r="S670" s="146"/>
      <c r="T670" s="146"/>
      <c r="U670" s="146"/>
      <c r="V670" s="146"/>
      <c r="W670" s="146"/>
      <c r="X670" s="146"/>
      <c r="Y670" s="146"/>
      <c r="Z670" s="146"/>
    </row>
    <row r="671" spans="1:26" ht="15.75" customHeight="1" x14ac:dyDescent="0.25">
      <c r="A671" s="146"/>
      <c r="B671" s="146"/>
      <c r="C671" s="146"/>
      <c r="D671" s="146"/>
      <c r="E671" s="146"/>
      <c r="F671" s="146"/>
      <c r="G671" s="146"/>
      <c r="H671" s="146"/>
      <c r="I671" s="146"/>
      <c r="J671" s="146"/>
      <c r="K671" s="146"/>
      <c r="L671" s="146"/>
      <c r="M671" s="146"/>
      <c r="N671" s="146"/>
      <c r="O671" s="146"/>
      <c r="P671" s="146"/>
      <c r="Q671" s="146"/>
      <c r="R671" s="146"/>
      <c r="S671" s="146"/>
      <c r="T671" s="146"/>
      <c r="U671" s="146"/>
      <c r="V671" s="146"/>
      <c r="W671" s="146"/>
      <c r="X671" s="146"/>
      <c r="Y671" s="146"/>
      <c r="Z671" s="146"/>
    </row>
    <row r="672" spans="1:26" ht="15.75" customHeight="1" x14ac:dyDescent="0.25">
      <c r="A672" s="146"/>
      <c r="B672" s="146"/>
      <c r="C672" s="146"/>
      <c r="D672" s="146"/>
      <c r="E672" s="146"/>
      <c r="F672" s="146"/>
      <c r="G672" s="146"/>
      <c r="H672" s="146"/>
      <c r="I672" s="146"/>
      <c r="J672" s="146"/>
      <c r="K672" s="146"/>
      <c r="L672" s="146"/>
      <c r="M672" s="146"/>
      <c r="N672" s="146"/>
      <c r="O672" s="146"/>
      <c r="P672" s="146"/>
      <c r="Q672" s="146"/>
      <c r="R672" s="146"/>
      <c r="S672" s="146"/>
      <c r="T672" s="146"/>
      <c r="U672" s="146"/>
      <c r="V672" s="146"/>
      <c r="W672" s="146"/>
      <c r="X672" s="146"/>
      <c r="Y672" s="146"/>
      <c r="Z672" s="146"/>
    </row>
    <row r="673" spans="1:26" ht="15.75" customHeight="1" x14ac:dyDescent="0.25">
      <c r="A673" s="146"/>
      <c r="B673" s="146"/>
      <c r="C673" s="146"/>
      <c r="D673" s="146"/>
      <c r="E673" s="146"/>
      <c r="F673" s="146"/>
      <c r="G673" s="146"/>
      <c r="H673" s="146"/>
      <c r="I673" s="146"/>
      <c r="J673" s="146"/>
      <c r="K673" s="146"/>
      <c r="L673" s="146"/>
      <c r="M673" s="146"/>
      <c r="N673" s="146"/>
      <c r="O673" s="146"/>
      <c r="P673" s="146"/>
      <c r="Q673" s="146"/>
      <c r="R673" s="146"/>
      <c r="S673" s="146"/>
      <c r="T673" s="146"/>
      <c r="U673" s="146"/>
      <c r="V673" s="146"/>
      <c r="W673" s="146"/>
      <c r="X673" s="146"/>
      <c r="Y673" s="146"/>
      <c r="Z673" s="146"/>
    </row>
    <row r="674" spans="1:26" ht="15.75" customHeight="1" x14ac:dyDescent="0.25">
      <c r="A674" s="146"/>
      <c r="B674" s="146"/>
      <c r="C674" s="146"/>
      <c r="D674" s="146"/>
      <c r="E674" s="146"/>
      <c r="F674" s="146"/>
      <c r="G674" s="146"/>
      <c r="H674" s="146"/>
      <c r="I674" s="146"/>
      <c r="J674" s="146"/>
      <c r="K674" s="146"/>
      <c r="L674" s="146"/>
      <c r="M674" s="146"/>
      <c r="N674" s="146"/>
      <c r="O674" s="146"/>
      <c r="P674" s="146"/>
      <c r="Q674" s="146"/>
      <c r="R674" s="146"/>
      <c r="S674" s="146"/>
      <c r="T674" s="146"/>
      <c r="U674" s="146"/>
      <c r="V674" s="146"/>
      <c r="W674" s="146"/>
      <c r="X674" s="146"/>
      <c r="Y674" s="146"/>
      <c r="Z674" s="146"/>
    </row>
    <row r="675" spans="1:26" ht="15.75" customHeight="1" x14ac:dyDescent="0.25">
      <c r="A675" s="146"/>
      <c r="B675" s="146"/>
      <c r="C675" s="146"/>
      <c r="D675" s="146"/>
      <c r="E675" s="146"/>
      <c r="F675" s="146"/>
      <c r="G675" s="146"/>
      <c r="H675" s="146"/>
      <c r="I675" s="146"/>
      <c r="J675" s="146"/>
      <c r="K675" s="146"/>
      <c r="L675" s="146"/>
      <c r="M675" s="146"/>
      <c r="N675" s="146"/>
      <c r="O675" s="146"/>
      <c r="P675" s="146"/>
      <c r="Q675" s="146"/>
      <c r="R675" s="146"/>
      <c r="S675" s="146"/>
      <c r="T675" s="146"/>
      <c r="U675" s="146"/>
      <c r="V675" s="146"/>
      <c r="W675" s="146"/>
      <c r="X675" s="146"/>
      <c r="Y675" s="146"/>
      <c r="Z675" s="146"/>
    </row>
    <row r="676" spans="1:26" ht="15.75" customHeight="1" x14ac:dyDescent="0.25">
      <c r="A676" s="146"/>
      <c r="B676" s="146"/>
      <c r="C676" s="146"/>
      <c r="D676" s="146"/>
      <c r="E676" s="146"/>
      <c r="F676" s="146"/>
      <c r="G676" s="146"/>
      <c r="H676" s="146"/>
      <c r="I676" s="146"/>
      <c r="J676" s="146"/>
      <c r="K676" s="146"/>
      <c r="L676" s="146"/>
      <c r="M676" s="146"/>
      <c r="N676" s="146"/>
      <c r="O676" s="146"/>
      <c r="P676" s="146"/>
      <c r="Q676" s="146"/>
      <c r="R676" s="146"/>
      <c r="S676" s="146"/>
      <c r="T676" s="146"/>
      <c r="U676" s="146"/>
      <c r="V676" s="146"/>
      <c r="W676" s="146"/>
      <c r="X676" s="146"/>
      <c r="Y676" s="146"/>
      <c r="Z676" s="146"/>
    </row>
    <row r="677" spans="1:26" ht="15.75" customHeight="1" x14ac:dyDescent="0.25">
      <c r="A677" s="146"/>
      <c r="B677" s="146"/>
      <c r="C677" s="146"/>
      <c r="D677" s="146"/>
      <c r="E677" s="146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46"/>
      <c r="R677" s="146"/>
      <c r="S677" s="146"/>
      <c r="T677" s="146"/>
      <c r="U677" s="146"/>
      <c r="V677" s="146"/>
      <c r="W677" s="146"/>
      <c r="X677" s="146"/>
      <c r="Y677" s="146"/>
      <c r="Z677" s="146"/>
    </row>
    <row r="678" spans="1:26" ht="15.75" customHeight="1" x14ac:dyDescent="0.25">
      <c r="A678" s="146"/>
      <c r="B678" s="146"/>
      <c r="C678" s="146"/>
      <c r="D678" s="146"/>
      <c r="E678" s="146"/>
      <c r="F678" s="146"/>
      <c r="G678" s="146"/>
      <c r="H678" s="146"/>
      <c r="I678" s="146"/>
      <c r="J678" s="146"/>
      <c r="K678" s="146"/>
      <c r="L678" s="146"/>
      <c r="M678" s="146"/>
      <c r="N678" s="146"/>
      <c r="O678" s="146"/>
      <c r="P678" s="146"/>
      <c r="Q678" s="146"/>
      <c r="R678" s="146"/>
      <c r="S678" s="146"/>
      <c r="T678" s="146"/>
      <c r="U678" s="146"/>
      <c r="V678" s="146"/>
      <c r="W678" s="146"/>
      <c r="X678" s="146"/>
      <c r="Y678" s="146"/>
      <c r="Z678" s="146"/>
    </row>
    <row r="679" spans="1:26" ht="15.75" customHeight="1" x14ac:dyDescent="0.25">
      <c r="A679" s="146"/>
      <c r="B679" s="146"/>
      <c r="C679" s="146"/>
      <c r="D679" s="146"/>
      <c r="E679" s="146"/>
      <c r="F679" s="146"/>
      <c r="G679" s="146"/>
      <c r="H679" s="146"/>
      <c r="I679" s="146"/>
      <c r="J679" s="146"/>
      <c r="K679" s="146"/>
      <c r="L679" s="146"/>
      <c r="M679" s="146"/>
      <c r="N679" s="146"/>
      <c r="O679" s="146"/>
      <c r="P679" s="146"/>
      <c r="Q679" s="146"/>
      <c r="R679" s="146"/>
      <c r="S679" s="146"/>
      <c r="T679" s="146"/>
      <c r="U679" s="146"/>
      <c r="V679" s="146"/>
      <c r="W679" s="146"/>
      <c r="X679" s="146"/>
      <c r="Y679" s="146"/>
      <c r="Z679" s="146"/>
    </row>
    <row r="680" spans="1:26" ht="15.75" customHeight="1" x14ac:dyDescent="0.25">
      <c r="A680" s="146"/>
      <c r="B680" s="146"/>
      <c r="C680" s="146"/>
      <c r="D680" s="146"/>
      <c r="E680" s="146"/>
      <c r="F680" s="146"/>
      <c r="G680" s="146"/>
      <c r="H680" s="146"/>
      <c r="I680" s="146"/>
      <c r="J680" s="146"/>
      <c r="K680" s="146"/>
      <c r="L680" s="146"/>
      <c r="M680" s="146"/>
      <c r="N680" s="146"/>
      <c r="O680" s="146"/>
      <c r="P680" s="146"/>
      <c r="Q680" s="146"/>
      <c r="R680" s="146"/>
      <c r="S680" s="146"/>
      <c r="T680" s="146"/>
      <c r="U680" s="146"/>
      <c r="V680" s="146"/>
      <c r="W680" s="146"/>
      <c r="X680" s="146"/>
      <c r="Y680" s="146"/>
      <c r="Z680" s="146"/>
    </row>
    <row r="681" spans="1:26" ht="15.75" customHeight="1" x14ac:dyDescent="0.25">
      <c r="A681" s="146"/>
      <c r="B681" s="146"/>
      <c r="C681" s="146"/>
      <c r="D681" s="146"/>
      <c r="E681" s="146"/>
      <c r="F681" s="146"/>
      <c r="G681" s="146"/>
      <c r="H681" s="146"/>
      <c r="I681" s="146"/>
      <c r="J681" s="146"/>
      <c r="K681" s="146"/>
      <c r="L681" s="146"/>
      <c r="M681" s="146"/>
      <c r="N681" s="146"/>
      <c r="O681" s="146"/>
      <c r="P681" s="146"/>
      <c r="Q681" s="146"/>
      <c r="R681" s="146"/>
      <c r="S681" s="146"/>
      <c r="T681" s="146"/>
      <c r="U681" s="146"/>
      <c r="V681" s="146"/>
      <c r="W681" s="146"/>
      <c r="X681" s="146"/>
      <c r="Y681" s="146"/>
      <c r="Z681" s="146"/>
    </row>
    <row r="682" spans="1:26" ht="15.75" customHeight="1" x14ac:dyDescent="0.25">
      <c r="A682" s="146"/>
      <c r="B682" s="146"/>
      <c r="C682" s="146"/>
      <c r="D682" s="146"/>
      <c r="E682" s="146"/>
      <c r="F682" s="146"/>
      <c r="G682" s="146"/>
      <c r="H682" s="146"/>
      <c r="I682" s="146"/>
      <c r="J682" s="146"/>
      <c r="K682" s="146"/>
      <c r="L682" s="146"/>
      <c r="M682" s="146"/>
      <c r="N682" s="146"/>
      <c r="O682" s="146"/>
      <c r="P682" s="146"/>
      <c r="Q682" s="146"/>
      <c r="R682" s="146"/>
      <c r="S682" s="146"/>
      <c r="T682" s="146"/>
      <c r="U682" s="146"/>
      <c r="V682" s="146"/>
      <c r="W682" s="146"/>
      <c r="X682" s="146"/>
      <c r="Y682" s="146"/>
      <c r="Z682" s="146"/>
    </row>
    <row r="683" spans="1:26" ht="15.75" customHeight="1" x14ac:dyDescent="0.25">
      <c r="A683" s="146"/>
      <c r="B683" s="146"/>
      <c r="C683" s="146"/>
      <c r="D683" s="146"/>
      <c r="E683" s="146"/>
      <c r="F683" s="146"/>
      <c r="G683" s="146"/>
      <c r="H683" s="146"/>
      <c r="I683" s="146"/>
      <c r="J683" s="146"/>
      <c r="K683" s="146"/>
      <c r="L683" s="146"/>
      <c r="M683" s="146"/>
      <c r="N683" s="146"/>
      <c r="O683" s="146"/>
      <c r="P683" s="146"/>
      <c r="Q683" s="146"/>
      <c r="R683" s="146"/>
      <c r="S683" s="146"/>
      <c r="T683" s="146"/>
      <c r="U683" s="146"/>
      <c r="V683" s="146"/>
      <c r="W683" s="146"/>
      <c r="X683" s="146"/>
      <c r="Y683" s="146"/>
      <c r="Z683" s="146"/>
    </row>
    <row r="684" spans="1:26" ht="15.75" customHeight="1" x14ac:dyDescent="0.25">
      <c r="A684" s="146"/>
      <c r="B684" s="146"/>
      <c r="C684" s="146"/>
      <c r="D684" s="146"/>
      <c r="E684" s="146"/>
      <c r="F684" s="146"/>
      <c r="G684" s="146"/>
      <c r="H684" s="146"/>
      <c r="I684" s="146"/>
      <c r="J684" s="146"/>
      <c r="K684" s="146"/>
      <c r="L684" s="146"/>
      <c r="M684" s="146"/>
      <c r="N684" s="146"/>
      <c r="O684" s="146"/>
      <c r="P684" s="146"/>
      <c r="Q684" s="146"/>
      <c r="R684" s="146"/>
      <c r="S684" s="146"/>
      <c r="T684" s="146"/>
      <c r="U684" s="146"/>
      <c r="V684" s="146"/>
      <c r="W684" s="146"/>
      <c r="X684" s="146"/>
      <c r="Y684" s="146"/>
      <c r="Z684" s="146"/>
    </row>
    <row r="685" spans="1:26" ht="15.75" customHeight="1" x14ac:dyDescent="0.25">
      <c r="A685" s="146"/>
      <c r="B685" s="146"/>
      <c r="C685" s="146"/>
      <c r="D685" s="146"/>
      <c r="E685" s="146"/>
      <c r="F685" s="146"/>
      <c r="G685" s="146"/>
      <c r="H685" s="146"/>
      <c r="I685" s="146"/>
      <c r="J685" s="146"/>
      <c r="K685" s="146"/>
      <c r="L685" s="146"/>
      <c r="M685" s="146"/>
      <c r="N685" s="146"/>
      <c r="O685" s="146"/>
      <c r="P685" s="146"/>
      <c r="Q685" s="146"/>
      <c r="R685" s="146"/>
      <c r="S685" s="146"/>
      <c r="T685" s="146"/>
      <c r="U685" s="146"/>
      <c r="V685" s="146"/>
      <c r="W685" s="146"/>
      <c r="X685" s="146"/>
      <c r="Y685" s="146"/>
      <c r="Z685" s="146"/>
    </row>
    <row r="686" spans="1:26" ht="15.75" customHeight="1" x14ac:dyDescent="0.25">
      <c r="A686" s="146"/>
      <c r="B686" s="146"/>
      <c r="C686" s="146"/>
      <c r="D686" s="146"/>
      <c r="E686" s="146"/>
      <c r="F686" s="146"/>
      <c r="G686" s="146"/>
      <c r="H686" s="146"/>
      <c r="I686" s="146"/>
      <c r="J686" s="146"/>
      <c r="K686" s="146"/>
      <c r="L686" s="146"/>
      <c r="M686" s="146"/>
      <c r="N686" s="146"/>
      <c r="O686" s="146"/>
      <c r="P686" s="146"/>
      <c r="Q686" s="146"/>
      <c r="R686" s="146"/>
      <c r="S686" s="146"/>
      <c r="T686" s="146"/>
      <c r="U686" s="146"/>
      <c r="V686" s="146"/>
      <c r="W686" s="146"/>
      <c r="X686" s="146"/>
      <c r="Y686" s="146"/>
      <c r="Z686" s="146"/>
    </row>
    <row r="687" spans="1:26" ht="15.75" customHeight="1" x14ac:dyDescent="0.25">
      <c r="A687" s="146"/>
      <c r="B687" s="146"/>
      <c r="C687" s="146"/>
      <c r="D687" s="146"/>
      <c r="E687" s="146"/>
      <c r="F687" s="146"/>
      <c r="G687" s="146"/>
      <c r="H687" s="146"/>
      <c r="I687" s="146"/>
      <c r="J687" s="146"/>
      <c r="K687" s="146"/>
      <c r="L687" s="146"/>
      <c r="M687" s="146"/>
      <c r="N687" s="146"/>
      <c r="O687" s="146"/>
      <c r="P687" s="146"/>
      <c r="Q687" s="146"/>
      <c r="R687" s="146"/>
      <c r="S687" s="146"/>
      <c r="T687" s="146"/>
      <c r="U687" s="146"/>
      <c r="V687" s="146"/>
      <c r="W687" s="146"/>
      <c r="X687" s="146"/>
      <c r="Y687" s="146"/>
      <c r="Z687" s="146"/>
    </row>
    <row r="688" spans="1:26" ht="15.75" customHeight="1" x14ac:dyDescent="0.25">
      <c r="A688" s="146"/>
      <c r="B688" s="146"/>
      <c r="C688" s="146"/>
      <c r="D688" s="146"/>
      <c r="E688" s="146"/>
      <c r="F688" s="146"/>
      <c r="G688" s="146"/>
      <c r="H688" s="146"/>
      <c r="I688" s="146"/>
      <c r="J688" s="146"/>
      <c r="K688" s="146"/>
      <c r="L688" s="146"/>
      <c r="M688" s="146"/>
      <c r="N688" s="146"/>
      <c r="O688" s="146"/>
      <c r="P688" s="146"/>
      <c r="Q688" s="146"/>
      <c r="R688" s="146"/>
      <c r="S688" s="146"/>
      <c r="T688" s="146"/>
      <c r="U688" s="146"/>
      <c r="V688" s="146"/>
      <c r="W688" s="146"/>
      <c r="X688" s="146"/>
      <c r="Y688" s="146"/>
      <c r="Z688" s="146"/>
    </row>
    <row r="689" spans="1:26" ht="15.75" customHeight="1" x14ac:dyDescent="0.25">
      <c r="A689" s="146"/>
      <c r="B689" s="146"/>
      <c r="C689" s="146"/>
      <c r="D689" s="146"/>
      <c r="E689" s="146"/>
      <c r="F689" s="146"/>
      <c r="G689" s="146"/>
      <c r="H689" s="146"/>
      <c r="I689" s="146"/>
      <c r="J689" s="146"/>
      <c r="K689" s="146"/>
      <c r="L689" s="146"/>
      <c r="M689" s="146"/>
      <c r="N689" s="146"/>
      <c r="O689" s="146"/>
      <c r="P689" s="146"/>
      <c r="Q689" s="146"/>
      <c r="R689" s="146"/>
      <c r="S689" s="146"/>
      <c r="T689" s="146"/>
      <c r="U689" s="146"/>
      <c r="V689" s="146"/>
      <c r="W689" s="146"/>
      <c r="X689" s="146"/>
      <c r="Y689" s="146"/>
      <c r="Z689" s="146"/>
    </row>
    <row r="690" spans="1:26" ht="15.75" customHeight="1" x14ac:dyDescent="0.25">
      <c r="A690" s="146"/>
      <c r="B690" s="146"/>
      <c r="C690" s="146"/>
      <c r="D690" s="146"/>
      <c r="E690" s="146"/>
      <c r="F690" s="146"/>
      <c r="G690" s="146"/>
      <c r="H690" s="146"/>
      <c r="I690" s="146"/>
      <c r="J690" s="146"/>
      <c r="K690" s="146"/>
      <c r="L690" s="146"/>
      <c r="M690" s="146"/>
      <c r="N690" s="146"/>
      <c r="O690" s="146"/>
      <c r="P690" s="146"/>
      <c r="Q690" s="146"/>
      <c r="R690" s="146"/>
      <c r="S690" s="146"/>
      <c r="T690" s="146"/>
      <c r="U690" s="146"/>
      <c r="V690" s="146"/>
      <c r="W690" s="146"/>
      <c r="X690" s="146"/>
      <c r="Y690" s="146"/>
      <c r="Z690" s="146"/>
    </row>
    <row r="691" spans="1:26" ht="15.75" customHeight="1" x14ac:dyDescent="0.25">
      <c r="A691" s="146"/>
      <c r="B691" s="146"/>
      <c r="C691" s="146"/>
      <c r="D691" s="146"/>
      <c r="E691" s="146"/>
      <c r="F691" s="146"/>
      <c r="G691" s="146"/>
      <c r="H691" s="146"/>
      <c r="I691" s="146"/>
      <c r="J691" s="146"/>
      <c r="K691" s="146"/>
      <c r="L691" s="146"/>
      <c r="M691" s="146"/>
      <c r="N691" s="146"/>
      <c r="O691" s="146"/>
      <c r="P691" s="146"/>
      <c r="Q691" s="146"/>
      <c r="R691" s="146"/>
      <c r="S691" s="146"/>
      <c r="T691" s="146"/>
      <c r="U691" s="146"/>
      <c r="V691" s="146"/>
      <c r="W691" s="146"/>
      <c r="X691" s="146"/>
      <c r="Y691" s="146"/>
      <c r="Z691" s="146"/>
    </row>
    <row r="692" spans="1:26" ht="15.75" customHeight="1" x14ac:dyDescent="0.25">
      <c r="A692" s="146"/>
      <c r="B692" s="146"/>
      <c r="C692" s="146"/>
      <c r="D692" s="146"/>
      <c r="E692" s="146"/>
      <c r="F692" s="146"/>
      <c r="G692" s="146"/>
      <c r="H692" s="146"/>
      <c r="I692" s="146"/>
      <c r="J692" s="146"/>
      <c r="K692" s="146"/>
      <c r="L692" s="146"/>
      <c r="M692" s="146"/>
      <c r="N692" s="146"/>
      <c r="O692" s="146"/>
      <c r="P692" s="146"/>
      <c r="Q692" s="146"/>
      <c r="R692" s="146"/>
      <c r="S692" s="146"/>
      <c r="T692" s="146"/>
      <c r="U692" s="146"/>
      <c r="V692" s="146"/>
      <c r="W692" s="146"/>
      <c r="X692" s="146"/>
      <c r="Y692" s="146"/>
      <c r="Z692" s="146"/>
    </row>
    <row r="693" spans="1:26" ht="15.75" customHeight="1" x14ac:dyDescent="0.25">
      <c r="A693" s="146"/>
      <c r="B693" s="146"/>
      <c r="C693" s="146"/>
      <c r="D693" s="146"/>
      <c r="E693" s="146"/>
      <c r="F693" s="146"/>
      <c r="G693" s="146"/>
      <c r="H693" s="146"/>
      <c r="I693" s="146"/>
      <c r="J693" s="146"/>
      <c r="K693" s="146"/>
      <c r="L693" s="146"/>
      <c r="M693" s="146"/>
      <c r="N693" s="146"/>
      <c r="O693" s="146"/>
      <c r="P693" s="146"/>
      <c r="Q693" s="146"/>
      <c r="R693" s="146"/>
      <c r="S693" s="146"/>
      <c r="T693" s="146"/>
      <c r="U693" s="146"/>
      <c r="V693" s="146"/>
      <c r="W693" s="146"/>
      <c r="X693" s="146"/>
      <c r="Y693" s="146"/>
      <c r="Z693" s="146"/>
    </row>
    <row r="694" spans="1:26" ht="15.75" customHeight="1" x14ac:dyDescent="0.25">
      <c r="A694" s="146"/>
      <c r="B694" s="146"/>
      <c r="C694" s="146"/>
      <c r="D694" s="146"/>
      <c r="E694" s="146"/>
      <c r="F694" s="146"/>
      <c r="G694" s="146"/>
      <c r="H694" s="146"/>
      <c r="I694" s="146"/>
      <c r="J694" s="146"/>
      <c r="K694" s="146"/>
      <c r="L694" s="146"/>
      <c r="M694" s="146"/>
      <c r="N694" s="146"/>
      <c r="O694" s="146"/>
      <c r="P694" s="146"/>
      <c r="Q694" s="146"/>
      <c r="R694" s="146"/>
      <c r="S694" s="146"/>
      <c r="T694" s="146"/>
      <c r="U694" s="146"/>
      <c r="V694" s="146"/>
      <c r="W694" s="146"/>
      <c r="X694" s="146"/>
      <c r="Y694" s="146"/>
      <c r="Z694" s="146"/>
    </row>
    <row r="695" spans="1:26" ht="15.75" customHeight="1" x14ac:dyDescent="0.25">
      <c r="A695" s="146"/>
      <c r="B695" s="146"/>
      <c r="C695" s="146"/>
      <c r="D695" s="146"/>
      <c r="E695" s="146"/>
      <c r="F695" s="146"/>
      <c r="G695" s="146"/>
      <c r="H695" s="146"/>
      <c r="I695" s="146"/>
      <c r="J695" s="146"/>
      <c r="K695" s="146"/>
      <c r="L695" s="146"/>
      <c r="M695" s="146"/>
      <c r="N695" s="146"/>
      <c r="O695" s="146"/>
      <c r="P695" s="146"/>
      <c r="Q695" s="146"/>
      <c r="R695" s="146"/>
      <c r="S695" s="146"/>
      <c r="T695" s="146"/>
      <c r="U695" s="146"/>
      <c r="V695" s="146"/>
      <c r="W695" s="146"/>
      <c r="X695" s="146"/>
      <c r="Y695" s="146"/>
      <c r="Z695" s="146"/>
    </row>
    <row r="696" spans="1:26" ht="15.75" customHeight="1" x14ac:dyDescent="0.25">
      <c r="A696" s="146"/>
      <c r="B696" s="146"/>
      <c r="C696" s="146"/>
      <c r="D696" s="146"/>
      <c r="E696" s="146"/>
      <c r="F696" s="146"/>
      <c r="G696" s="146"/>
      <c r="H696" s="146"/>
      <c r="I696" s="146"/>
      <c r="J696" s="146"/>
      <c r="K696" s="146"/>
      <c r="L696" s="146"/>
      <c r="M696" s="146"/>
      <c r="N696" s="146"/>
      <c r="O696" s="146"/>
      <c r="P696" s="146"/>
      <c r="Q696" s="146"/>
      <c r="R696" s="146"/>
      <c r="S696" s="146"/>
      <c r="T696" s="146"/>
      <c r="U696" s="146"/>
      <c r="V696" s="146"/>
      <c r="W696" s="146"/>
      <c r="X696" s="146"/>
      <c r="Y696" s="146"/>
      <c r="Z696" s="146"/>
    </row>
    <row r="697" spans="1:26" ht="15.75" customHeight="1" x14ac:dyDescent="0.25">
      <c r="A697" s="146"/>
      <c r="B697" s="146"/>
      <c r="C697" s="146"/>
      <c r="D697" s="146"/>
      <c r="E697" s="146"/>
      <c r="F697" s="146"/>
      <c r="G697" s="146"/>
      <c r="H697" s="146"/>
      <c r="I697" s="146"/>
      <c r="J697" s="146"/>
      <c r="K697" s="146"/>
      <c r="L697" s="146"/>
      <c r="M697" s="146"/>
      <c r="N697" s="146"/>
      <c r="O697" s="146"/>
      <c r="P697" s="146"/>
      <c r="Q697" s="146"/>
      <c r="R697" s="146"/>
      <c r="S697" s="146"/>
      <c r="T697" s="146"/>
      <c r="U697" s="146"/>
      <c r="V697" s="146"/>
      <c r="W697" s="146"/>
      <c r="X697" s="146"/>
      <c r="Y697" s="146"/>
      <c r="Z697" s="146"/>
    </row>
    <row r="698" spans="1:26" ht="15.75" customHeight="1" x14ac:dyDescent="0.25">
      <c r="A698" s="146"/>
      <c r="B698" s="146"/>
      <c r="C698" s="146"/>
      <c r="D698" s="146"/>
      <c r="E698" s="146"/>
      <c r="F698" s="146"/>
      <c r="G698" s="146"/>
      <c r="H698" s="146"/>
      <c r="I698" s="146"/>
      <c r="J698" s="146"/>
      <c r="K698" s="146"/>
      <c r="L698" s="146"/>
      <c r="M698" s="146"/>
      <c r="N698" s="146"/>
      <c r="O698" s="146"/>
      <c r="P698" s="146"/>
      <c r="Q698" s="146"/>
      <c r="R698" s="146"/>
      <c r="S698" s="146"/>
      <c r="T698" s="146"/>
      <c r="U698" s="146"/>
      <c r="V698" s="146"/>
      <c r="W698" s="146"/>
      <c r="X698" s="146"/>
      <c r="Y698" s="146"/>
      <c r="Z698" s="146"/>
    </row>
    <row r="699" spans="1:26" ht="15.75" customHeight="1" x14ac:dyDescent="0.25">
      <c r="A699" s="146"/>
      <c r="B699" s="146"/>
      <c r="C699" s="146"/>
      <c r="D699" s="146"/>
      <c r="E699" s="146"/>
      <c r="F699" s="146"/>
      <c r="G699" s="146"/>
      <c r="H699" s="146"/>
      <c r="I699" s="146"/>
      <c r="J699" s="146"/>
      <c r="K699" s="146"/>
      <c r="L699" s="146"/>
      <c r="M699" s="146"/>
      <c r="N699" s="146"/>
      <c r="O699" s="146"/>
      <c r="P699" s="146"/>
      <c r="Q699" s="146"/>
      <c r="R699" s="146"/>
      <c r="S699" s="146"/>
      <c r="T699" s="146"/>
      <c r="U699" s="146"/>
      <c r="V699" s="146"/>
      <c r="W699" s="146"/>
      <c r="X699" s="146"/>
      <c r="Y699" s="146"/>
      <c r="Z699" s="146"/>
    </row>
    <row r="700" spans="1:26" ht="15.75" customHeight="1" x14ac:dyDescent="0.25">
      <c r="A700" s="146"/>
      <c r="B700" s="146"/>
      <c r="C700" s="146"/>
      <c r="D700" s="146"/>
      <c r="E700" s="146"/>
      <c r="F700" s="146"/>
      <c r="G700" s="146"/>
      <c r="H700" s="146"/>
      <c r="I700" s="146"/>
      <c r="J700" s="146"/>
      <c r="K700" s="146"/>
      <c r="L700" s="146"/>
      <c r="M700" s="146"/>
      <c r="N700" s="146"/>
      <c r="O700" s="146"/>
      <c r="P700" s="146"/>
      <c r="Q700" s="146"/>
      <c r="R700" s="146"/>
      <c r="S700" s="146"/>
      <c r="T700" s="146"/>
      <c r="U700" s="146"/>
      <c r="V700" s="146"/>
      <c r="W700" s="146"/>
      <c r="X700" s="146"/>
      <c r="Y700" s="146"/>
      <c r="Z700" s="146"/>
    </row>
    <row r="701" spans="1:26" ht="15.75" customHeight="1" x14ac:dyDescent="0.25">
      <c r="A701" s="146"/>
      <c r="B701" s="146"/>
      <c r="C701" s="146"/>
      <c r="D701" s="146"/>
      <c r="E701" s="146"/>
      <c r="F701" s="146"/>
      <c r="G701" s="146"/>
      <c r="H701" s="146"/>
      <c r="I701" s="146"/>
      <c r="J701" s="146"/>
      <c r="K701" s="146"/>
      <c r="L701" s="146"/>
      <c r="M701" s="146"/>
      <c r="N701" s="146"/>
      <c r="O701" s="146"/>
      <c r="P701" s="146"/>
      <c r="Q701" s="146"/>
      <c r="R701" s="146"/>
      <c r="S701" s="146"/>
      <c r="T701" s="146"/>
      <c r="U701" s="146"/>
      <c r="V701" s="146"/>
      <c r="W701" s="146"/>
      <c r="X701" s="146"/>
      <c r="Y701" s="146"/>
      <c r="Z701" s="146"/>
    </row>
    <row r="702" spans="1:26" ht="15.75" customHeight="1" x14ac:dyDescent="0.25">
      <c r="A702" s="146"/>
      <c r="B702" s="146"/>
      <c r="C702" s="146"/>
      <c r="D702" s="146"/>
      <c r="E702" s="146"/>
      <c r="F702" s="146"/>
      <c r="G702" s="146"/>
      <c r="H702" s="146"/>
      <c r="I702" s="146"/>
      <c r="J702" s="146"/>
      <c r="K702" s="146"/>
      <c r="L702" s="146"/>
      <c r="M702" s="146"/>
      <c r="N702" s="146"/>
      <c r="O702" s="146"/>
      <c r="P702" s="146"/>
      <c r="Q702" s="146"/>
      <c r="R702" s="146"/>
      <c r="S702" s="146"/>
      <c r="T702" s="146"/>
      <c r="U702" s="146"/>
      <c r="V702" s="146"/>
      <c r="W702" s="146"/>
      <c r="X702" s="146"/>
      <c r="Y702" s="146"/>
      <c r="Z702" s="146"/>
    </row>
    <row r="703" spans="1:26" ht="15.75" customHeight="1" x14ac:dyDescent="0.25">
      <c r="A703" s="146"/>
      <c r="B703" s="146"/>
      <c r="C703" s="146"/>
      <c r="D703" s="146"/>
      <c r="E703" s="146"/>
      <c r="F703" s="146"/>
      <c r="G703" s="146"/>
      <c r="H703" s="146"/>
      <c r="I703" s="146"/>
      <c r="J703" s="146"/>
      <c r="K703" s="146"/>
      <c r="L703" s="146"/>
      <c r="M703" s="146"/>
      <c r="N703" s="146"/>
      <c r="O703" s="146"/>
      <c r="P703" s="146"/>
      <c r="Q703" s="146"/>
      <c r="R703" s="146"/>
      <c r="S703" s="146"/>
      <c r="T703" s="146"/>
      <c r="U703" s="146"/>
      <c r="V703" s="146"/>
      <c r="W703" s="146"/>
      <c r="X703" s="146"/>
      <c r="Y703" s="146"/>
      <c r="Z703" s="146"/>
    </row>
    <row r="704" spans="1:26" ht="15.75" customHeight="1" x14ac:dyDescent="0.25">
      <c r="A704" s="146"/>
      <c r="B704" s="146"/>
      <c r="C704" s="146"/>
      <c r="D704" s="146"/>
      <c r="E704" s="146"/>
      <c r="F704" s="146"/>
      <c r="G704" s="146"/>
      <c r="H704" s="146"/>
      <c r="I704" s="146"/>
      <c r="J704" s="146"/>
      <c r="K704" s="146"/>
      <c r="L704" s="146"/>
      <c r="M704" s="146"/>
      <c r="N704" s="146"/>
      <c r="O704" s="146"/>
      <c r="P704" s="146"/>
      <c r="Q704" s="146"/>
      <c r="R704" s="146"/>
      <c r="S704" s="146"/>
      <c r="T704" s="146"/>
      <c r="U704" s="146"/>
      <c r="V704" s="146"/>
      <c r="W704" s="146"/>
      <c r="X704" s="146"/>
      <c r="Y704" s="146"/>
      <c r="Z704" s="146"/>
    </row>
    <row r="705" spans="1:26" ht="15.75" customHeight="1" x14ac:dyDescent="0.25">
      <c r="A705" s="146"/>
      <c r="B705" s="146"/>
      <c r="C705" s="146"/>
      <c r="D705" s="146"/>
      <c r="E705" s="146"/>
      <c r="F705" s="146"/>
      <c r="G705" s="146"/>
      <c r="H705" s="146"/>
      <c r="I705" s="146"/>
      <c r="J705" s="146"/>
      <c r="K705" s="146"/>
      <c r="L705" s="146"/>
      <c r="M705" s="146"/>
      <c r="N705" s="146"/>
      <c r="O705" s="146"/>
      <c r="P705" s="146"/>
      <c r="Q705" s="146"/>
      <c r="R705" s="146"/>
      <c r="S705" s="146"/>
      <c r="T705" s="146"/>
      <c r="U705" s="146"/>
      <c r="V705" s="146"/>
      <c r="W705" s="146"/>
      <c r="X705" s="146"/>
      <c r="Y705" s="146"/>
      <c r="Z705" s="146"/>
    </row>
    <row r="706" spans="1:26" ht="15.75" customHeight="1" x14ac:dyDescent="0.25">
      <c r="A706" s="146"/>
      <c r="B706" s="146"/>
      <c r="C706" s="146"/>
      <c r="D706" s="146"/>
      <c r="E706" s="146"/>
      <c r="F706" s="146"/>
      <c r="G706" s="146"/>
      <c r="H706" s="146"/>
      <c r="I706" s="146"/>
      <c r="J706" s="146"/>
      <c r="K706" s="146"/>
      <c r="L706" s="146"/>
      <c r="M706" s="146"/>
      <c r="N706" s="146"/>
      <c r="O706" s="146"/>
      <c r="P706" s="146"/>
      <c r="Q706" s="146"/>
      <c r="R706" s="146"/>
      <c r="S706" s="146"/>
      <c r="T706" s="146"/>
      <c r="U706" s="146"/>
      <c r="V706" s="146"/>
      <c r="W706" s="146"/>
      <c r="X706" s="146"/>
      <c r="Y706" s="146"/>
      <c r="Z706" s="146"/>
    </row>
    <row r="707" spans="1:26" ht="15.75" customHeight="1" x14ac:dyDescent="0.25">
      <c r="A707" s="146"/>
      <c r="B707" s="146"/>
      <c r="C707" s="146"/>
      <c r="D707" s="146"/>
      <c r="E707" s="146"/>
      <c r="F707" s="146"/>
      <c r="G707" s="146"/>
      <c r="H707" s="146"/>
      <c r="I707" s="146"/>
      <c r="J707" s="146"/>
      <c r="K707" s="146"/>
      <c r="L707" s="146"/>
      <c r="M707" s="146"/>
      <c r="N707" s="146"/>
      <c r="O707" s="146"/>
      <c r="P707" s="146"/>
      <c r="Q707" s="146"/>
      <c r="R707" s="146"/>
      <c r="S707" s="146"/>
      <c r="T707" s="146"/>
      <c r="U707" s="146"/>
      <c r="V707" s="146"/>
      <c r="W707" s="146"/>
      <c r="X707" s="146"/>
      <c r="Y707" s="146"/>
      <c r="Z707" s="146"/>
    </row>
    <row r="708" spans="1:26" ht="15.75" customHeight="1" x14ac:dyDescent="0.25">
      <c r="A708" s="146"/>
      <c r="B708" s="146"/>
      <c r="C708" s="146"/>
      <c r="D708" s="146"/>
      <c r="E708" s="146"/>
      <c r="F708" s="146"/>
      <c r="G708" s="146"/>
      <c r="H708" s="146"/>
      <c r="I708" s="146"/>
      <c r="J708" s="146"/>
      <c r="K708" s="146"/>
      <c r="L708" s="146"/>
      <c r="M708" s="146"/>
      <c r="N708" s="146"/>
      <c r="O708" s="146"/>
      <c r="P708" s="146"/>
      <c r="Q708" s="146"/>
      <c r="R708" s="146"/>
      <c r="S708" s="146"/>
      <c r="T708" s="146"/>
      <c r="U708" s="146"/>
      <c r="V708" s="146"/>
      <c r="W708" s="146"/>
      <c r="X708" s="146"/>
      <c r="Y708" s="146"/>
      <c r="Z708" s="146"/>
    </row>
    <row r="709" spans="1:26" ht="15.75" customHeight="1" x14ac:dyDescent="0.25">
      <c r="A709" s="146"/>
      <c r="B709" s="146"/>
      <c r="C709" s="146"/>
      <c r="D709" s="146"/>
      <c r="E709" s="146"/>
      <c r="F709" s="146"/>
      <c r="G709" s="146"/>
      <c r="H709" s="146"/>
      <c r="I709" s="146"/>
      <c r="J709" s="146"/>
      <c r="K709" s="146"/>
      <c r="L709" s="146"/>
      <c r="M709" s="146"/>
      <c r="N709" s="146"/>
      <c r="O709" s="146"/>
      <c r="P709" s="146"/>
      <c r="Q709" s="146"/>
      <c r="R709" s="146"/>
      <c r="S709" s="146"/>
      <c r="T709" s="146"/>
      <c r="U709" s="146"/>
      <c r="V709" s="146"/>
      <c r="W709" s="146"/>
      <c r="X709" s="146"/>
      <c r="Y709" s="146"/>
      <c r="Z709" s="146"/>
    </row>
    <row r="710" spans="1:26" ht="15.75" customHeight="1" x14ac:dyDescent="0.25">
      <c r="A710" s="146"/>
      <c r="B710" s="146"/>
      <c r="C710" s="146"/>
      <c r="D710" s="146"/>
      <c r="E710" s="146"/>
      <c r="F710" s="146"/>
      <c r="G710" s="146"/>
      <c r="H710" s="146"/>
      <c r="I710" s="146"/>
      <c r="J710" s="146"/>
      <c r="K710" s="146"/>
      <c r="L710" s="146"/>
      <c r="M710" s="146"/>
      <c r="N710" s="146"/>
      <c r="O710" s="146"/>
      <c r="P710" s="146"/>
      <c r="Q710" s="146"/>
      <c r="R710" s="146"/>
      <c r="S710" s="146"/>
      <c r="T710" s="146"/>
      <c r="U710" s="146"/>
      <c r="V710" s="146"/>
      <c r="W710" s="146"/>
      <c r="X710" s="146"/>
      <c r="Y710" s="146"/>
      <c r="Z710" s="146"/>
    </row>
    <row r="711" spans="1:26" ht="15.75" customHeight="1" x14ac:dyDescent="0.25">
      <c r="A711" s="146"/>
      <c r="B711" s="146"/>
      <c r="C711" s="146"/>
      <c r="D711" s="146"/>
      <c r="E711" s="146"/>
      <c r="F711" s="146"/>
      <c r="G711" s="146"/>
      <c r="H711" s="146"/>
      <c r="I711" s="146"/>
      <c r="J711" s="146"/>
      <c r="K711" s="146"/>
      <c r="L711" s="146"/>
      <c r="M711" s="146"/>
      <c r="N711" s="146"/>
      <c r="O711" s="146"/>
      <c r="P711" s="146"/>
      <c r="Q711" s="146"/>
      <c r="R711" s="146"/>
      <c r="S711" s="146"/>
      <c r="T711" s="146"/>
      <c r="U711" s="146"/>
      <c r="V711" s="146"/>
      <c r="W711" s="146"/>
      <c r="X711" s="146"/>
      <c r="Y711" s="146"/>
      <c r="Z711" s="146"/>
    </row>
    <row r="712" spans="1:26" ht="15.75" customHeight="1" x14ac:dyDescent="0.25">
      <c r="A712" s="146"/>
      <c r="B712" s="146"/>
      <c r="C712" s="146"/>
      <c r="D712" s="146"/>
      <c r="E712" s="146"/>
      <c r="F712" s="146"/>
      <c r="G712" s="146"/>
      <c r="H712" s="146"/>
      <c r="I712" s="146"/>
      <c r="J712" s="146"/>
      <c r="K712" s="146"/>
      <c r="L712" s="146"/>
      <c r="M712" s="146"/>
      <c r="N712" s="146"/>
      <c r="O712" s="146"/>
      <c r="P712" s="146"/>
      <c r="Q712" s="146"/>
      <c r="R712" s="146"/>
      <c r="S712" s="146"/>
      <c r="T712" s="146"/>
      <c r="U712" s="146"/>
      <c r="V712" s="146"/>
      <c r="W712" s="146"/>
      <c r="X712" s="146"/>
      <c r="Y712" s="146"/>
      <c r="Z712" s="146"/>
    </row>
    <row r="713" spans="1:26" ht="15.75" customHeight="1" x14ac:dyDescent="0.25">
      <c r="A713" s="146"/>
      <c r="B713" s="146"/>
      <c r="C713" s="146"/>
      <c r="D713" s="146"/>
      <c r="E713" s="146"/>
      <c r="F713" s="146"/>
      <c r="G713" s="146"/>
      <c r="H713" s="146"/>
      <c r="I713" s="146"/>
      <c r="J713" s="146"/>
      <c r="K713" s="146"/>
      <c r="L713" s="146"/>
      <c r="M713" s="146"/>
      <c r="N713" s="146"/>
      <c r="O713" s="146"/>
      <c r="P713" s="146"/>
      <c r="Q713" s="146"/>
      <c r="R713" s="146"/>
      <c r="S713" s="146"/>
      <c r="T713" s="146"/>
      <c r="U713" s="146"/>
      <c r="V713" s="146"/>
      <c r="W713" s="146"/>
      <c r="X713" s="146"/>
      <c r="Y713" s="146"/>
      <c r="Z713" s="146"/>
    </row>
    <row r="714" spans="1:26" ht="15.75" customHeight="1" x14ac:dyDescent="0.25">
      <c r="A714" s="146"/>
      <c r="B714" s="146"/>
      <c r="C714" s="146"/>
      <c r="D714" s="146"/>
      <c r="E714" s="146"/>
      <c r="F714" s="146"/>
      <c r="G714" s="146"/>
      <c r="H714" s="146"/>
      <c r="I714" s="146"/>
      <c r="J714" s="146"/>
      <c r="K714" s="146"/>
      <c r="L714" s="146"/>
      <c r="M714" s="146"/>
      <c r="N714" s="146"/>
      <c r="O714" s="146"/>
      <c r="P714" s="146"/>
      <c r="Q714" s="146"/>
      <c r="R714" s="146"/>
      <c r="S714" s="146"/>
      <c r="T714" s="146"/>
      <c r="U714" s="146"/>
      <c r="V714" s="146"/>
      <c r="W714" s="146"/>
      <c r="X714" s="146"/>
      <c r="Y714" s="146"/>
      <c r="Z714" s="146"/>
    </row>
    <row r="715" spans="1:26" ht="15.75" customHeight="1" x14ac:dyDescent="0.25">
      <c r="A715" s="146"/>
      <c r="B715" s="146"/>
      <c r="C715" s="146"/>
      <c r="D715" s="146"/>
      <c r="E715" s="146"/>
      <c r="F715" s="146"/>
      <c r="G715" s="146"/>
      <c r="H715" s="146"/>
      <c r="I715" s="146"/>
      <c r="J715" s="146"/>
      <c r="K715" s="146"/>
      <c r="L715" s="146"/>
      <c r="M715" s="146"/>
      <c r="N715" s="146"/>
      <c r="O715" s="146"/>
      <c r="P715" s="146"/>
      <c r="Q715" s="146"/>
      <c r="R715" s="146"/>
      <c r="S715" s="146"/>
      <c r="T715" s="146"/>
      <c r="U715" s="146"/>
      <c r="V715" s="146"/>
      <c r="W715" s="146"/>
      <c r="X715" s="146"/>
      <c r="Y715" s="146"/>
      <c r="Z715" s="146"/>
    </row>
    <row r="716" spans="1:26" ht="15.75" customHeight="1" x14ac:dyDescent="0.25">
      <c r="A716" s="146"/>
      <c r="B716" s="146"/>
      <c r="C716" s="146"/>
      <c r="D716" s="146"/>
      <c r="E716" s="146"/>
      <c r="F716" s="146"/>
      <c r="G716" s="146"/>
      <c r="H716" s="146"/>
      <c r="I716" s="146"/>
      <c r="J716" s="146"/>
      <c r="K716" s="146"/>
      <c r="L716" s="146"/>
      <c r="M716" s="146"/>
      <c r="N716" s="146"/>
      <c r="O716" s="146"/>
      <c r="P716" s="146"/>
      <c r="Q716" s="146"/>
      <c r="R716" s="146"/>
      <c r="S716" s="146"/>
      <c r="T716" s="146"/>
      <c r="U716" s="146"/>
      <c r="V716" s="146"/>
      <c r="W716" s="146"/>
      <c r="X716" s="146"/>
      <c r="Y716" s="146"/>
      <c r="Z716" s="146"/>
    </row>
    <row r="717" spans="1:26" ht="15.75" customHeight="1" x14ac:dyDescent="0.25">
      <c r="A717" s="146"/>
      <c r="B717" s="146"/>
      <c r="C717" s="146"/>
      <c r="D717" s="146"/>
      <c r="E717" s="146"/>
      <c r="F717" s="146"/>
      <c r="G717" s="146"/>
      <c r="H717" s="146"/>
      <c r="I717" s="146"/>
      <c r="J717" s="146"/>
      <c r="K717" s="146"/>
      <c r="L717" s="146"/>
      <c r="M717" s="146"/>
      <c r="N717" s="146"/>
      <c r="O717" s="146"/>
      <c r="P717" s="146"/>
      <c r="Q717" s="146"/>
      <c r="R717" s="146"/>
      <c r="S717" s="146"/>
      <c r="T717" s="146"/>
      <c r="U717" s="146"/>
      <c r="V717" s="146"/>
      <c r="W717" s="146"/>
      <c r="X717" s="146"/>
      <c r="Y717" s="146"/>
      <c r="Z717" s="146"/>
    </row>
    <row r="718" spans="1:26" ht="15.75" customHeight="1" x14ac:dyDescent="0.25">
      <c r="A718" s="146"/>
      <c r="B718" s="146"/>
      <c r="C718" s="146"/>
      <c r="D718" s="146"/>
      <c r="E718" s="146"/>
      <c r="F718" s="146"/>
      <c r="G718" s="146"/>
      <c r="H718" s="146"/>
      <c r="I718" s="146"/>
      <c r="J718" s="146"/>
      <c r="K718" s="146"/>
      <c r="L718" s="146"/>
      <c r="M718" s="146"/>
      <c r="N718" s="146"/>
      <c r="O718" s="146"/>
      <c r="P718" s="146"/>
      <c r="Q718" s="146"/>
      <c r="R718" s="146"/>
      <c r="S718" s="146"/>
      <c r="T718" s="146"/>
      <c r="U718" s="146"/>
      <c r="V718" s="146"/>
      <c r="W718" s="146"/>
      <c r="X718" s="146"/>
      <c r="Y718" s="146"/>
      <c r="Z718" s="146"/>
    </row>
    <row r="719" spans="1:26" ht="15.75" customHeight="1" x14ac:dyDescent="0.25">
      <c r="A719" s="146"/>
      <c r="B719" s="146"/>
      <c r="C719" s="146"/>
      <c r="D719" s="146"/>
      <c r="E719" s="146"/>
      <c r="F719" s="146"/>
      <c r="G719" s="146"/>
      <c r="H719" s="146"/>
      <c r="I719" s="146"/>
      <c r="J719" s="146"/>
      <c r="K719" s="146"/>
      <c r="L719" s="146"/>
      <c r="M719" s="146"/>
      <c r="N719" s="146"/>
      <c r="O719" s="146"/>
      <c r="P719" s="146"/>
      <c r="Q719" s="146"/>
      <c r="R719" s="146"/>
      <c r="S719" s="146"/>
      <c r="T719" s="146"/>
      <c r="U719" s="146"/>
      <c r="V719" s="146"/>
      <c r="W719" s="146"/>
      <c r="X719" s="146"/>
      <c r="Y719" s="146"/>
      <c r="Z719" s="146"/>
    </row>
    <row r="720" spans="1:26" ht="15.75" customHeight="1" x14ac:dyDescent="0.25">
      <c r="A720" s="146"/>
      <c r="B720" s="146"/>
      <c r="C720" s="146"/>
      <c r="D720" s="146"/>
      <c r="E720" s="146"/>
      <c r="F720" s="146"/>
      <c r="G720" s="146"/>
      <c r="H720" s="146"/>
      <c r="I720" s="146"/>
      <c r="J720" s="146"/>
      <c r="K720" s="146"/>
      <c r="L720" s="146"/>
      <c r="M720" s="146"/>
      <c r="N720" s="146"/>
      <c r="O720" s="146"/>
      <c r="P720" s="146"/>
      <c r="Q720" s="146"/>
      <c r="R720" s="146"/>
      <c r="S720" s="146"/>
      <c r="T720" s="146"/>
      <c r="U720" s="146"/>
      <c r="V720" s="146"/>
      <c r="W720" s="146"/>
      <c r="X720" s="146"/>
      <c r="Y720" s="146"/>
      <c r="Z720" s="146"/>
    </row>
    <row r="721" spans="1:26" ht="15.75" customHeight="1" x14ac:dyDescent="0.25">
      <c r="A721" s="146"/>
      <c r="B721" s="146"/>
      <c r="C721" s="146"/>
      <c r="D721" s="146"/>
      <c r="E721" s="146"/>
      <c r="F721" s="146"/>
      <c r="G721" s="146"/>
      <c r="H721" s="146"/>
      <c r="I721" s="146"/>
      <c r="J721" s="146"/>
      <c r="K721" s="146"/>
      <c r="L721" s="146"/>
      <c r="M721" s="146"/>
      <c r="N721" s="146"/>
      <c r="O721" s="146"/>
      <c r="P721" s="146"/>
      <c r="Q721" s="146"/>
      <c r="R721" s="146"/>
      <c r="S721" s="146"/>
      <c r="T721" s="146"/>
      <c r="U721" s="146"/>
      <c r="V721" s="146"/>
      <c r="W721" s="146"/>
      <c r="X721" s="146"/>
      <c r="Y721" s="146"/>
      <c r="Z721" s="146"/>
    </row>
    <row r="722" spans="1:26" ht="15.75" customHeight="1" x14ac:dyDescent="0.25">
      <c r="A722" s="146"/>
      <c r="B722" s="146"/>
      <c r="C722" s="146"/>
      <c r="D722" s="146"/>
      <c r="E722" s="146"/>
      <c r="F722" s="146"/>
      <c r="G722" s="146"/>
      <c r="H722" s="146"/>
      <c r="I722" s="146"/>
      <c r="J722" s="146"/>
      <c r="K722" s="146"/>
      <c r="L722" s="146"/>
      <c r="M722" s="146"/>
      <c r="N722" s="146"/>
      <c r="O722" s="146"/>
      <c r="P722" s="146"/>
      <c r="Q722" s="146"/>
      <c r="R722" s="146"/>
      <c r="S722" s="146"/>
      <c r="T722" s="146"/>
      <c r="U722" s="146"/>
      <c r="V722" s="146"/>
      <c r="W722" s="146"/>
      <c r="X722" s="146"/>
      <c r="Y722" s="146"/>
      <c r="Z722" s="146"/>
    </row>
    <row r="723" spans="1:26" ht="15.75" customHeight="1" x14ac:dyDescent="0.25">
      <c r="A723" s="146"/>
      <c r="B723" s="146"/>
      <c r="C723" s="146"/>
      <c r="D723" s="146"/>
      <c r="E723" s="146"/>
      <c r="F723" s="146"/>
      <c r="G723" s="146"/>
      <c r="H723" s="146"/>
      <c r="I723" s="146"/>
      <c r="J723" s="146"/>
      <c r="K723" s="146"/>
      <c r="L723" s="146"/>
      <c r="M723" s="146"/>
      <c r="N723" s="146"/>
      <c r="O723" s="146"/>
      <c r="P723" s="146"/>
      <c r="Q723" s="146"/>
      <c r="R723" s="146"/>
      <c r="S723" s="146"/>
      <c r="T723" s="146"/>
      <c r="U723" s="146"/>
      <c r="V723" s="146"/>
      <c r="W723" s="146"/>
      <c r="X723" s="146"/>
      <c r="Y723" s="146"/>
      <c r="Z723" s="146"/>
    </row>
    <row r="724" spans="1:26" ht="15.75" customHeight="1" x14ac:dyDescent="0.25">
      <c r="A724" s="146"/>
      <c r="B724" s="146"/>
      <c r="C724" s="146"/>
      <c r="D724" s="146"/>
      <c r="E724" s="146"/>
      <c r="F724" s="146"/>
      <c r="G724" s="146"/>
      <c r="H724" s="146"/>
      <c r="I724" s="146"/>
      <c r="J724" s="146"/>
      <c r="K724" s="146"/>
      <c r="L724" s="146"/>
      <c r="M724" s="146"/>
      <c r="N724" s="146"/>
      <c r="O724" s="146"/>
      <c r="P724" s="146"/>
      <c r="Q724" s="146"/>
      <c r="R724" s="146"/>
      <c r="S724" s="146"/>
      <c r="T724" s="146"/>
      <c r="U724" s="146"/>
      <c r="V724" s="146"/>
      <c r="W724" s="146"/>
      <c r="X724" s="146"/>
      <c r="Y724" s="146"/>
      <c r="Z724" s="146"/>
    </row>
    <row r="725" spans="1:26" ht="15.75" customHeight="1" x14ac:dyDescent="0.25">
      <c r="A725" s="146"/>
      <c r="B725" s="146"/>
      <c r="C725" s="146"/>
      <c r="D725" s="146"/>
      <c r="E725" s="146"/>
      <c r="F725" s="146"/>
      <c r="G725" s="146"/>
      <c r="H725" s="146"/>
      <c r="I725" s="146"/>
      <c r="J725" s="146"/>
      <c r="K725" s="146"/>
      <c r="L725" s="146"/>
      <c r="M725" s="146"/>
      <c r="N725" s="146"/>
      <c r="O725" s="146"/>
      <c r="P725" s="146"/>
      <c r="Q725" s="146"/>
      <c r="R725" s="146"/>
      <c r="S725" s="146"/>
      <c r="T725" s="146"/>
      <c r="U725" s="146"/>
      <c r="V725" s="146"/>
      <c r="W725" s="146"/>
      <c r="X725" s="146"/>
      <c r="Y725" s="146"/>
      <c r="Z725" s="146"/>
    </row>
    <row r="726" spans="1:26" ht="15.75" customHeight="1" x14ac:dyDescent="0.25">
      <c r="A726" s="146"/>
      <c r="B726" s="146"/>
      <c r="C726" s="146"/>
      <c r="D726" s="146"/>
      <c r="E726" s="146"/>
      <c r="F726" s="146"/>
      <c r="G726" s="146"/>
      <c r="H726" s="146"/>
      <c r="I726" s="146"/>
      <c r="J726" s="146"/>
      <c r="K726" s="146"/>
      <c r="L726" s="146"/>
      <c r="M726" s="146"/>
      <c r="N726" s="146"/>
      <c r="O726" s="146"/>
      <c r="P726" s="146"/>
      <c r="Q726" s="146"/>
      <c r="R726" s="146"/>
      <c r="S726" s="146"/>
      <c r="T726" s="146"/>
      <c r="U726" s="146"/>
      <c r="V726" s="146"/>
      <c r="W726" s="146"/>
      <c r="X726" s="146"/>
      <c r="Y726" s="146"/>
      <c r="Z726" s="146"/>
    </row>
    <row r="727" spans="1:26" ht="15.75" customHeight="1" x14ac:dyDescent="0.25">
      <c r="A727" s="146"/>
      <c r="B727" s="146"/>
      <c r="C727" s="146"/>
      <c r="D727" s="146"/>
      <c r="E727" s="146"/>
      <c r="F727" s="146"/>
      <c r="G727" s="146"/>
      <c r="H727" s="146"/>
      <c r="I727" s="146"/>
      <c r="J727" s="146"/>
      <c r="K727" s="146"/>
      <c r="L727" s="146"/>
      <c r="M727" s="146"/>
      <c r="N727" s="146"/>
      <c r="O727" s="146"/>
      <c r="P727" s="146"/>
      <c r="Q727" s="146"/>
      <c r="R727" s="146"/>
      <c r="S727" s="146"/>
      <c r="T727" s="146"/>
      <c r="U727" s="146"/>
      <c r="V727" s="146"/>
      <c r="W727" s="146"/>
      <c r="X727" s="146"/>
      <c r="Y727" s="146"/>
      <c r="Z727" s="146"/>
    </row>
    <row r="728" spans="1:26" ht="15.75" customHeight="1" x14ac:dyDescent="0.25">
      <c r="A728" s="146"/>
      <c r="B728" s="146"/>
      <c r="C728" s="146"/>
      <c r="D728" s="146"/>
      <c r="E728" s="146"/>
      <c r="F728" s="146"/>
      <c r="G728" s="146"/>
      <c r="H728" s="146"/>
      <c r="I728" s="146"/>
      <c r="J728" s="146"/>
      <c r="K728" s="146"/>
      <c r="L728" s="146"/>
      <c r="M728" s="146"/>
      <c r="N728" s="146"/>
      <c r="O728" s="146"/>
      <c r="P728" s="146"/>
      <c r="Q728" s="146"/>
      <c r="R728" s="146"/>
      <c r="S728" s="146"/>
      <c r="T728" s="146"/>
      <c r="U728" s="146"/>
      <c r="V728" s="146"/>
      <c r="W728" s="146"/>
      <c r="X728" s="146"/>
      <c r="Y728" s="146"/>
      <c r="Z728" s="146"/>
    </row>
    <row r="729" spans="1:26" ht="15.75" customHeight="1" x14ac:dyDescent="0.25">
      <c r="A729" s="146"/>
      <c r="B729" s="146"/>
      <c r="C729" s="146"/>
      <c r="D729" s="146"/>
      <c r="E729" s="146"/>
      <c r="F729" s="146"/>
      <c r="G729" s="146"/>
      <c r="H729" s="146"/>
      <c r="I729" s="146"/>
      <c r="J729" s="146"/>
      <c r="K729" s="146"/>
      <c r="L729" s="146"/>
      <c r="M729" s="146"/>
      <c r="N729" s="146"/>
      <c r="O729" s="146"/>
      <c r="P729" s="146"/>
      <c r="Q729" s="146"/>
      <c r="R729" s="146"/>
      <c r="S729" s="146"/>
      <c r="T729" s="146"/>
      <c r="U729" s="146"/>
      <c r="V729" s="146"/>
      <c r="W729" s="146"/>
      <c r="X729" s="146"/>
      <c r="Y729" s="146"/>
      <c r="Z729" s="146"/>
    </row>
    <row r="730" spans="1:26" ht="15.75" customHeight="1" x14ac:dyDescent="0.25">
      <c r="A730" s="146"/>
      <c r="B730" s="146"/>
      <c r="C730" s="146"/>
      <c r="D730" s="146"/>
      <c r="E730" s="146"/>
      <c r="F730" s="146"/>
      <c r="G730" s="146"/>
      <c r="H730" s="146"/>
      <c r="I730" s="146"/>
      <c r="J730" s="146"/>
      <c r="K730" s="146"/>
      <c r="L730" s="146"/>
      <c r="M730" s="146"/>
      <c r="N730" s="146"/>
      <c r="O730" s="146"/>
      <c r="P730" s="146"/>
      <c r="Q730" s="146"/>
      <c r="R730" s="146"/>
      <c r="S730" s="146"/>
      <c r="T730" s="146"/>
      <c r="U730" s="146"/>
      <c r="V730" s="146"/>
      <c r="W730" s="146"/>
      <c r="X730" s="146"/>
      <c r="Y730" s="146"/>
      <c r="Z730" s="146"/>
    </row>
    <row r="731" spans="1:26" ht="15.75" customHeight="1" x14ac:dyDescent="0.25">
      <c r="A731" s="146"/>
      <c r="B731" s="146"/>
      <c r="C731" s="146"/>
      <c r="D731" s="146"/>
      <c r="E731" s="146"/>
      <c r="F731" s="146"/>
      <c r="G731" s="146"/>
      <c r="H731" s="146"/>
      <c r="I731" s="146"/>
      <c r="J731" s="146"/>
      <c r="K731" s="146"/>
      <c r="L731" s="146"/>
      <c r="M731" s="146"/>
      <c r="N731" s="146"/>
      <c r="O731" s="146"/>
      <c r="P731" s="146"/>
      <c r="Q731" s="146"/>
      <c r="R731" s="146"/>
      <c r="S731" s="146"/>
      <c r="T731" s="146"/>
      <c r="U731" s="146"/>
      <c r="V731" s="146"/>
      <c r="W731" s="146"/>
      <c r="X731" s="146"/>
      <c r="Y731" s="146"/>
      <c r="Z731" s="146"/>
    </row>
    <row r="732" spans="1:26" ht="15.75" customHeight="1" x14ac:dyDescent="0.25">
      <c r="A732" s="146"/>
      <c r="B732" s="146"/>
      <c r="C732" s="146"/>
      <c r="D732" s="146"/>
      <c r="E732" s="146"/>
      <c r="F732" s="146"/>
      <c r="G732" s="146"/>
      <c r="H732" s="146"/>
      <c r="I732" s="146"/>
      <c r="J732" s="146"/>
      <c r="K732" s="146"/>
      <c r="L732" s="146"/>
      <c r="M732" s="146"/>
      <c r="N732" s="146"/>
      <c r="O732" s="146"/>
      <c r="P732" s="146"/>
      <c r="Q732" s="146"/>
      <c r="R732" s="146"/>
      <c r="S732" s="146"/>
      <c r="T732" s="146"/>
      <c r="U732" s="146"/>
      <c r="V732" s="146"/>
      <c r="W732" s="146"/>
      <c r="X732" s="146"/>
      <c r="Y732" s="146"/>
      <c r="Z732" s="146"/>
    </row>
    <row r="733" spans="1:26" ht="15.75" customHeight="1" x14ac:dyDescent="0.25">
      <c r="A733" s="146"/>
      <c r="B733" s="146"/>
      <c r="C733" s="146"/>
      <c r="D733" s="146"/>
      <c r="E733" s="146"/>
      <c r="F733" s="146"/>
      <c r="G733" s="146"/>
      <c r="H733" s="146"/>
      <c r="I733" s="146"/>
      <c r="J733" s="146"/>
      <c r="K733" s="146"/>
      <c r="L733" s="146"/>
      <c r="M733" s="146"/>
      <c r="N733" s="146"/>
      <c r="O733" s="146"/>
      <c r="P733" s="146"/>
      <c r="Q733" s="146"/>
      <c r="R733" s="146"/>
      <c r="S733" s="146"/>
      <c r="T733" s="146"/>
      <c r="U733" s="146"/>
      <c r="V733" s="146"/>
      <c r="W733" s="146"/>
      <c r="X733" s="146"/>
      <c r="Y733" s="146"/>
      <c r="Z733" s="146"/>
    </row>
    <row r="734" spans="1:26" ht="15.75" customHeight="1" x14ac:dyDescent="0.25">
      <c r="A734" s="146"/>
      <c r="B734" s="146"/>
      <c r="C734" s="146"/>
      <c r="D734" s="146"/>
      <c r="E734" s="146"/>
      <c r="F734" s="146"/>
      <c r="G734" s="146"/>
      <c r="H734" s="146"/>
      <c r="I734" s="146"/>
      <c r="J734" s="146"/>
      <c r="K734" s="146"/>
      <c r="L734" s="146"/>
      <c r="M734" s="146"/>
      <c r="N734" s="146"/>
      <c r="O734" s="146"/>
      <c r="P734" s="146"/>
      <c r="Q734" s="146"/>
      <c r="R734" s="146"/>
      <c r="S734" s="146"/>
      <c r="T734" s="146"/>
      <c r="U734" s="146"/>
      <c r="V734" s="146"/>
      <c r="W734" s="146"/>
      <c r="X734" s="146"/>
      <c r="Y734" s="146"/>
      <c r="Z734" s="146"/>
    </row>
    <row r="735" spans="1:26" ht="15.75" customHeight="1" x14ac:dyDescent="0.25">
      <c r="A735" s="146"/>
      <c r="B735" s="146"/>
      <c r="C735" s="146"/>
      <c r="D735" s="146"/>
      <c r="E735" s="146"/>
      <c r="F735" s="146"/>
      <c r="G735" s="146"/>
      <c r="H735" s="146"/>
      <c r="I735" s="146"/>
      <c r="J735" s="146"/>
      <c r="K735" s="146"/>
      <c r="L735" s="146"/>
      <c r="M735" s="146"/>
      <c r="N735" s="146"/>
      <c r="O735" s="146"/>
      <c r="P735" s="146"/>
      <c r="Q735" s="146"/>
      <c r="R735" s="146"/>
      <c r="S735" s="146"/>
      <c r="T735" s="146"/>
      <c r="U735" s="146"/>
      <c r="V735" s="146"/>
      <c r="W735" s="146"/>
      <c r="X735" s="146"/>
      <c r="Y735" s="146"/>
      <c r="Z735" s="146"/>
    </row>
    <row r="736" spans="1:26" ht="15.75" customHeight="1" x14ac:dyDescent="0.25">
      <c r="A736" s="146"/>
      <c r="B736" s="146"/>
      <c r="C736" s="146"/>
      <c r="D736" s="146"/>
      <c r="E736" s="146"/>
      <c r="F736" s="146"/>
      <c r="G736" s="146"/>
      <c r="H736" s="146"/>
      <c r="I736" s="146"/>
      <c r="J736" s="146"/>
      <c r="K736" s="146"/>
      <c r="L736" s="146"/>
      <c r="M736" s="146"/>
      <c r="N736" s="146"/>
      <c r="O736" s="146"/>
      <c r="P736" s="146"/>
      <c r="Q736" s="146"/>
      <c r="R736" s="146"/>
      <c r="S736" s="146"/>
      <c r="T736" s="146"/>
      <c r="U736" s="146"/>
      <c r="V736" s="146"/>
      <c r="W736" s="146"/>
      <c r="X736" s="146"/>
      <c r="Y736" s="146"/>
      <c r="Z736" s="146"/>
    </row>
    <row r="737" spans="1:26" ht="15.75" customHeight="1" x14ac:dyDescent="0.25">
      <c r="A737" s="146"/>
      <c r="B737" s="146"/>
      <c r="C737" s="146"/>
      <c r="D737" s="146"/>
      <c r="E737" s="146"/>
      <c r="F737" s="146"/>
      <c r="G737" s="146"/>
      <c r="H737" s="146"/>
      <c r="I737" s="146"/>
      <c r="J737" s="146"/>
      <c r="K737" s="146"/>
      <c r="L737" s="146"/>
      <c r="M737" s="146"/>
      <c r="N737" s="146"/>
      <c r="O737" s="146"/>
      <c r="P737" s="146"/>
      <c r="Q737" s="146"/>
      <c r="R737" s="146"/>
      <c r="S737" s="146"/>
      <c r="T737" s="146"/>
      <c r="U737" s="146"/>
      <c r="V737" s="146"/>
      <c r="W737" s="146"/>
      <c r="X737" s="146"/>
      <c r="Y737" s="146"/>
      <c r="Z737" s="146"/>
    </row>
    <row r="738" spans="1:26" ht="15.75" customHeight="1" x14ac:dyDescent="0.25">
      <c r="A738" s="146"/>
      <c r="B738" s="146"/>
      <c r="C738" s="146"/>
      <c r="D738" s="146"/>
      <c r="E738" s="146"/>
      <c r="F738" s="146"/>
      <c r="G738" s="146"/>
      <c r="H738" s="146"/>
      <c r="I738" s="146"/>
      <c r="J738" s="146"/>
      <c r="K738" s="146"/>
      <c r="L738" s="146"/>
      <c r="M738" s="146"/>
      <c r="N738" s="146"/>
      <c r="O738" s="146"/>
      <c r="P738" s="146"/>
      <c r="Q738" s="146"/>
      <c r="R738" s="146"/>
      <c r="S738" s="146"/>
      <c r="T738" s="146"/>
      <c r="U738" s="146"/>
      <c r="V738" s="146"/>
      <c r="W738" s="146"/>
      <c r="X738" s="146"/>
      <c r="Y738" s="146"/>
      <c r="Z738" s="146"/>
    </row>
    <row r="739" spans="1:26" ht="15.75" customHeight="1" x14ac:dyDescent="0.25">
      <c r="A739" s="146"/>
      <c r="B739" s="146"/>
      <c r="C739" s="146"/>
      <c r="D739" s="146"/>
      <c r="E739" s="146"/>
      <c r="F739" s="146"/>
      <c r="G739" s="146"/>
      <c r="H739" s="146"/>
      <c r="I739" s="146"/>
      <c r="J739" s="146"/>
      <c r="K739" s="146"/>
      <c r="L739" s="146"/>
      <c r="M739" s="146"/>
      <c r="N739" s="146"/>
      <c r="O739" s="146"/>
      <c r="P739" s="146"/>
      <c r="Q739" s="146"/>
      <c r="R739" s="146"/>
      <c r="S739" s="146"/>
      <c r="T739" s="146"/>
      <c r="U739" s="146"/>
      <c r="V739" s="146"/>
      <c r="W739" s="146"/>
      <c r="X739" s="146"/>
      <c r="Y739" s="146"/>
      <c r="Z739" s="146"/>
    </row>
    <row r="740" spans="1:26" ht="15.75" customHeight="1" x14ac:dyDescent="0.25">
      <c r="A740" s="146"/>
      <c r="B740" s="146"/>
      <c r="C740" s="146"/>
      <c r="D740" s="146"/>
      <c r="E740" s="146"/>
      <c r="F740" s="146"/>
      <c r="G740" s="146"/>
      <c r="H740" s="146"/>
      <c r="I740" s="146"/>
      <c r="J740" s="146"/>
      <c r="K740" s="146"/>
      <c r="L740" s="146"/>
      <c r="M740" s="146"/>
      <c r="N740" s="146"/>
      <c r="O740" s="146"/>
      <c r="P740" s="146"/>
      <c r="Q740" s="146"/>
      <c r="R740" s="146"/>
      <c r="S740" s="146"/>
      <c r="T740" s="146"/>
      <c r="U740" s="146"/>
      <c r="V740" s="146"/>
      <c r="W740" s="146"/>
      <c r="X740" s="146"/>
      <c r="Y740" s="146"/>
      <c r="Z740" s="146"/>
    </row>
    <row r="741" spans="1:26" ht="15.75" customHeight="1" x14ac:dyDescent="0.25">
      <c r="A741" s="146"/>
      <c r="B741" s="146"/>
      <c r="C741" s="146"/>
      <c r="D741" s="146"/>
      <c r="E741" s="146"/>
      <c r="F741" s="146"/>
      <c r="G741" s="146"/>
      <c r="H741" s="146"/>
      <c r="I741" s="146"/>
      <c r="J741" s="146"/>
      <c r="K741" s="146"/>
      <c r="L741" s="146"/>
      <c r="M741" s="146"/>
      <c r="N741" s="146"/>
      <c r="O741" s="146"/>
      <c r="P741" s="146"/>
      <c r="Q741" s="146"/>
      <c r="R741" s="146"/>
      <c r="S741" s="146"/>
      <c r="T741" s="146"/>
      <c r="U741" s="146"/>
      <c r="V741" s="146"/>
      <c r="W741" s="146"/>
      <c r="X741" s="146"/>
      <c r="Y741" s="146"/>
      <c r="Z741" s="146"/>
    </row>
    <row r="742" spans="1:26" ht="15.75" customHeight="1" x14ac:dyDescent="0.25">
      <c r="A742" s="146"/>
      <c r="B742" s="146"/>
      <c r="C742" s="146"/>
      <c r="D742" s="146"/>
      <c r="E742" s="146"/>
      <c r="F742" s="146"/>
      <c r="G742" s="146"/>
      <c r="H742" s="146"/>
      <c r="I742" s="146"/>
      <c r="J742" s="146"/>
      <c r="K742" s="146"/>
      <c r="L742" s="146"/>
      <c r="M742" s="146"/>
      <c r="N742" s="146"/>
      <c r="O742" s="146"/>
      <c r="P742" s="146"/>
      <c r="Q742" s="146"/>
      <c r="R742" s="146"/>
      <c r="S742" s="146"/>
      <c r="T742" s="146"/>
      <c r="U742" s="146"/>
      <c r="V742" s="146"/>
      <c r="W742" s="146"/>
      <c r="X742" s="146"/>
      <c r="Y742" s="146"/>
      <c r="Z742" s="146"/>
    </row>
    <row r="743" spans="1:26" ht="15.75" customHeight="1" x14ac:dyDescent="0.25">
      <c r="A743" s="146"/>
      <c r="B743" s="146"/>
      <c r="C743" s="146"/>
      <c r="D743" s="146"/>
      <c r="E743" s="146"/>
      <c r="F743" s="146"/>
      <c r="G743" s="146"/>
      <c r="H743" s="146"/>
      <c r="I743" s="146"/>
      <c r="J743" s="146"/>
      <c r="K743" s="146"/>
      <c r="L743" s="146"/>
      <c r="M743" s="146"/>
      <c r="N743" s="146"/>
      <c r="O743" s="146"/>
      <c r="P743" s="146"/>
      <c r="Q743" s="146"/>
      <c r="R743" s="146"/>
      <c r="S743" s="146"/>
      <c r="T743" s="146"/>
      <c r="U743" s="146"/>
      <c r="V743" s="146"/>
      <c r="W743" s="146"/>
      <c r="X743" s="146"/>
      <c r="Y743" s="146"/>
      <c r="Z743" s="146"/>
    </row>
    <row r="744" spans="1:26" ht="15.75" customHeight="1" x14ac:dyDescent="0.25">
      <c r="A744" s="146"/>
      <c r="B744" s="146"/>
      <c r="C744" s="146"/>
      <c r="D744" s="146"/>
      <c r="E744" s="146"/>
      <c r="F744" s="146"/>
      <c r="G744" s="146"/>
      <c r="H744" s="146"/>
      <c r="I744" s="146"/>
      <c r="J744" s="146"/>
      <c r="K744" s="146"/>
      <c r="L744" s="146"/>
      <c r="M744" s="146"/>
      <c r="N744" s="146"/>
      <c r="O744" s="146"/>
      <c r="P744" s="146"/>
      <c r="Q744" s="146"/>
      <c r="R744" s="146"/>
      <c r="S744" s="146"/>
      <c r="T744" s="146"/>
      <c r="U744" s="146"/>
      <c r="V744" s="146"/>
      <c r="W744" s="146"/>
      <c r="X744" s="146"/>
      <c r="Y744" s="146"/>
      <c r="Z744" s="146"/>
    </row>
    <row r="745" spans="1:26" ht="15.75" customHeight="1" x14ac:dyDescent="0.25">
      <c r="A745" s="146"/>
      <c r="B745" s="146"/>
      <c r="C745" s="146"/>
      <c r="D745" s="146"/>
      <c r="E745" s="146"/>
      <c r="F745" s="146"/>
      <c r="G745" s="146"/>
      <c r="H745" s="146"/>
      <c r="I745" s="146"/>
      <c r="J745" s="146"/>
      <c r="K745" s="146"/>
      <c r="L745" s="146"/>
      <c r="M745" s="146"/>
      <c r="N745" s="146"/>
      <c r="O745" s="146"/>
      <c r="P745" s="146"/>
      <c r="Q745" s="146"/>
      <c r="R745" s="146"/>
      <c r="S745" s="146"/>
      <c r="T745" s="146"/>
      <c r="U745" s="146"/>
      <c r="V745" s="146"/>
      <c r="W745" s="146"/>
      <c r="X745" s="146"/>
      <c r="Y745" s="146"/>
      <c r="Z745" s="146"/>
    </row>
    <row r="746" spans="1:26" ht="15.75" customHeight="1" x14ac:dyDescent="0.25">
      <c r="A746" s="146"/>
      <c r="B746" s="146"/>
      <c r="C746" s="146"/>
      <c r="D746" s="146"/>
      <c r="E746" s="146"/>
      <c r="F746" s="146"/>
      <c r="G746" s="146"/>
      <c r="H746" s="146"/>
      <c r="I746" s="146"/>
      <c r="J746" s="146"/>
      <c r="K746" s="146"/>
      <c r="L746" s="146"/>
      <c r="M746" s="146"/>
      <c r="N746" s="146"/>
      <c r="O746" s="146"/>
      <c r="P746" s="146"/>
      <c r="Q746" s="146"/>
      <c r="R746" s="146"/>
      <c r="S746" s="146"/>
      <c r="T746" s="146"/>
      <c r="U746" s="146"/>
      <c r="V746" s="146"/>
      <c r="W746" s="146"/>
      <c r="X746" s="146"/>
      <c r="Y746" s="146"/>
      <c r="Z746" s="146"/>
    </row>
    <row r="747" spans="1:26" ht="15.75" customHeight="1" x14ac:dyDescent="0.25">
      <c r="A747" s="146"/>
      <c r="B747" s="146"/>
      <c r="C747" s="146"/>
      <c r="D747" s="146"/>
      <c r="E747" s="146"/>
      <c r="F747" s="146"/>
      <c r="G747" s="146"/>
      <c r="H747" s="146"/>
      <c r="I747" s="146"/>
      <c r="J747" s="146"/>
      <c r="K747" s="146"/>
      <c r="L747" s="146"/>
      <c r="M747" s="146"/>
      <c r="N747" s="146"/>
      <c r="O747" s="146"/>
      <c r="P747" s="146"/>
      <c r="Q747" s="146"/>
      <c r="R747" s="146"/>
      <c r="S747" s="146"/>
      <c r="T747" s="146"/>
      <c r="U747" s="146"/>
      <c r="V747" s="146"/>
      <c r="W747" s="146"/>
      <c r="X747" s="146"/>
      <c r="Y747" s="146"/>
      <c r="Z747" s="146"/>
    </row>
    <row r="748" spans="1:26" ht="15.75" customHeight="1" x14ac:dyDescent="0.25">
      <c r="A748" s="146"/>
      <c r="B748" s="146"/>
      <c r="C748" s="146"/>
      <c r="D748" s="146"/>
      <c r="E748" s="146"/>
      <c r="F748" s="146"/>
      <c r="G748" s="146"/>
      <c r="H748" s="146"/>
      <c r="I748" s="146"/>
      <c r="J748" s="146"/>
      <c r="K748" s="146"/>
      <c r="L748" s="146"/>
      <c r="M748" s="146"/>
      <c r="N748" s="146"/>
      <c r="O748" s="146"/>
      <c r="P748" s="146"/>
      <c r="Q748" s="146"/>
      <c r="R748" s="146"/>
      <c r="S748" s="146"/>
      <c r="T748" s="146"/>
      <c r="U748" s="146"/>
      <c r="V748" s="146"/>
      <c r="W748" s="146"/>
      <c r="X748" s="146"/>
      <c r="Y748" s="146"/>
      <c r="Z748" s="146"/>
    </row>
    <row r="749" spans="1:26" ht="15.75" customHeight="1" x14ac:dyDescent="0.25">
      <c r="A749" s="146"/>
      <c r="B749" s="146"/>
      <c r="C749" s="146"/>
      <c r="D749" s="146"/>
      <c r="E749" s="146"/>
      <c r="F749" s="146"/>
      <c r="G749" s="146"/>
      <c r="H749" s="146"/>
      <c r="I749" s="146"/>
      <c r="J749" s="146"/>
      <c r="K749" s="146"/>
      <c r="L749" s="146"/>
      <c r="M749" s="146"/>
      <c r="N749" s="146"/>
      <c r="O749" s="146"/>
      <c r="P749" s="146"/>
      <c r="Q749" s="146"/>
      <c r="R749" s="146"/>
      <c r="S749" s="146"/>
      <c r="T749" s="146"/>
      <c r="U749" s="146"/>
      <c r="V749" s="146"/>
      <c r="W749" s="146"/>
      <c r="X749" s="146"/>
      <c r="Y749" s="146"/>
      <c r="Z749" s="146"/>
    </row>
    <row r="750" spans="1:26" ht="15.75" customHeight="1" x14ac:dyDescent="0.25">
      <c r="A750" s="146"/>
      <c r="B750" s="146"/>
      <c r="C750" s="146"/>
      <c r="D750" s="146"/>
      <c r="E750" s="146"/>
      <c r="F750" s="146"/>
      <c r="G750" s="146"/>
      <c r="H750" s="146"/>
      <c r="I750" s="146"/>
      <c r="J750" s="146"/>
      <c r="K750" s="146"/>
      <c r="L750" s="146"/>
      <c r="M750" s="146"/>
      <c r="N750" s="146"/>
      <c r="O750" s="146"/>
      <c r="P750" s="146"/>
      <c r="Q750" s="146"/>
      <c r="R750" s="146"/>
      <c r="S750" s="146"/>
      <c r="T750" s="146"/>
      <c r="U750" s="146"/>
      <c r="V750" s="146"/>
      <c r="W750" s="146"/>
      <c r="X750" s="146"/>
      <c r="Y750" s="146"/>
      <c r="Z750" s="146"/>
    </row>
    <row r="751" spans="1:26" ht="15.75" customHeight="1" x14ac:dyDescent="0.25">
      <c r="A751" s="146"/>
      <c r="B751" s="146"/>
      <c r="C751" s="146"/>
      <c r="D751" s="146"/>
      <c r="E751" s="146"/>
      <c r="F751" s="146"/>
      <c r="G751" s="146"/>
      <c r="H751" s="146"/>
      <c r="I751" s="146"/>
      <c r="J751" s="146"/>
      <c r="K751" s="146"/>
      <c r="L751" s="146"/>
      <c r="M751" s="146"/>
      <c r="N751" s="146"/>
      <c r="O751" s="146"/>
      <c r="P751" s="146"/>
      <c r="Q751" s="146"/>
      <c r="R751" s="146"/>
      <c r="S751" s="146"/>
      <c r="T751" s="146"/>
      <c r="U751" s="146"/>
      <c r="V751" s="146"/>
      <c r="W751" s="146"/>
      <c r="X751" s="146"/>
      <c r="Y751" s="146"/>
      <c r="Z751" s="146"/>
    </row>
    <row r="752" spans="1:26" ht="15.75" customHeight="1" x14ac:dyDescent="0.25">
      <c r="A752" s="146"/>
      <c r="B752" s="146"/>
      <c r="C752" s="146"/>
      <c r="D752" s="146"/>
      <c r="E752" s="146"/>
      <c r="F752" s="146"/>
      <c r="G752" s="146"/>
      <c r="H752" s="146"/>
      <c r="I752" s="146"/>
      <c r="J752" s="146"/>
      <c r="K752" s="146"/>
      <c r="L752" s="146"/>
      <c r="M752" s="146"/>
      <c r="N752" s="146"/>
      <c r="O752" s="146"/>
      <c r="P752" s="146"/>
      <c r="Q752" s="146"/>
      <c r="R752" s="146"/>
      <c r="S752" s="146"/>
      <c r="T752" s="146"/>
      <c r="U752" s="146"/>
      <c r="V752" s="146"/>
      <c r="W752" s="146"/>
      <c r="X752" s="146"/>
      <c r="Y752" s="146"/>
      <c r="Z752" s="146"/>
    </row>
    <row r="753" spans="1:26" ht="15.75" customHeight="1" x14ac:dyDescent="0.25">
      <c r="A753" s="146"/>
      <c r="B753" s="146"/>
      <c r="C753" s="146"/>
      <c r="D753" s="146"/>
      <c r="E753" s="146"/>
      <c r="F753" s="146"/>
      <c r="G753" s="146"/>
      <c r="H753" s="146"/>
      <c r="I753" s="146"/>
      <c r="J753" s="146"/>
      <c r="K753" s="146"/>
      <c r="L753" s="146"/>
      <c r="M753" s="146"/>
      <c r="N753" s="146"/>
      <c r="O753" s="146"/>
      <c r="P753" s="146"/>
      <c r="Q753" s="146"/>
      <c r="R753" s="146"/>
      <c r="S753" s="146"/>
      <c r="T753" s="146"/>
      <c r="U753" s="146"/>
      <c r="V753" s="146"/>
      <c r="W753" s="146"/>
      <c r="X753" s="146"/>
      <c r="Y753" s="146"/>
      <c r="Z753" s="146"/>
    </row>
    <row r="754" spans="1:26" ht="15.75" customHeight="1" x14ac:dyDescent="0.25">
      <c r="A754" s="146"/>
      <c r="B754" s="146"/>
      <c r="C754" s="146"/>
      <c r="D754" s="146"/>
      <c r="E754" s="146"/>
      <c r="F754" s="146"/>
      <c r="G754" s="146"/>
      <c r="H754" s="146"/>
      <c r="I754" s="146"/>
      <c r="J754" s="146"/>
      <c r="K754" s="146"/>
      <c r="L754" s="146"/>
      <c r="M754" s="146"/>
      <c r="N754" s="146"/>
      <c r="O754" s="146"/>
      <c r="P754" s="146"/>
      <c r="Q754" s="146"/>
      <c r="R754" s="146"/>
      <c r="S754" s="146"/>
      <c r="T754" s="146"/>
      <c r="U754" s="146"/>
      <c r="V754" s="146"/>
      <c r="W754" s="146"/>
      <c r="X754" s="146"/>
      <c r="Y754" s="146"/>
      <c r="Z754" s="146"/>
    </row>
    <row r="755" spans="1:26" ht="15.75" customHeight="1" x14ac:dyDescent="0.25">
      <c r="A755" s="146"/>
      <c r="B755" s="146"/>
      <c r="C755" s="146"/>
      <c r="D755" s="146"/>
      <c r="E755" s="146"/>
      <c r="F755" s="146"/>
      <c r="G755" s="146"/>
      <c r="H755" s="146"/>
      <c r="I755" s="146"/>
      <c r="J755" s="146"/>
      <c r="K755" s="146"/>
      <c r="L755" s="146"/>
      <c r="M755" s="146"/>
      <c r="N755" s="146"/>
      <c r="O755" s="146"/>
      <c r="P755" s="146"/>
      <c r="Q755" s="146"/>
      <c r="R755" s="146"/>
      <c r="S755" s="146"/>
      <c r="T755" s="146"/>
      <c r="U755" s="146"/>
      <c r="V755" s="146"/>
      <c r="W755" s="146"/>
      <c r="X755" s="146"/>
      <c r="Y755" s="146"/>
      <c r="Z755" s="146"/>
    </row>
    <row r="756" spans="1:26" ht="15.75" customHeight="1" x14ac:dyDescent="0.25">
      <c r="A756" s="146"/>
      <c r="B756" s="146"/>
      <c r="C756" s="146"/>
      <c r="D756" s="146"/>
      <c r="E756" s="146"/>
      <c r="F756" s="146"/>
      <c r="G756" s="146"/>
      <c r="H756" s="146"/>
      <c r="I756" s="146"/>
      <c r="J756" s="146"/>
      <c r="K756" s="146"/>
      <c r="L756" s="146"/>
      <c r="M756" s="146"/>
      <c r="N756" s="146"/>
      <c r="O756" s="146"/>
      <c r="P756" s="146"/>
      <c r="Q756" s="146"/>
      <c r="R756" s="146"/>
      <c r="S756" s="146"/>
      <c r="T756" s="146"/>
      <c r="U756" s="146"/>
      <c r="V756" s="146"/>
      <c r="W756" s="146"/>
      <c r="X756" s="146"/>
      <c r="Y756" s="146"/>
      <c r="Z756" s="146"/>
    </row>
    <row r="757" spans="1:26" ht="15.75" customHeight="1" x14ac:dyDescent="0.25">
      <c r="A757" s="146"/>
      <c r="B757" s="146"/>
      <c r="C757" s="146"/>
      <c r="D757" s="146"/>
      <c r="E757" s="146"/>
      <c r="F757" s="146"/>
      <c r="G757" s="146"/>
      <c r="H757" s="146"/>
      <c r="I757" s="146"/>
      <c r="J757" s="146"/>
      <c r="K757" s="146"/>
      <c r="L757" s="146"/>
      <c r="M757" s="146"/>
      <c r="N757" s="146"/>
      <c r="O757" s="146"/>
      <c r="P757" s="146"/>
      <c r="Q757" s="146"/>
      <c r="R757" s="146"/>
      <c r="S757" s="146"/>
      <c r="T757" s="146"/>
      <c r="U757" s="146"/>
      <c r="V757" s="146"/>
      <c r="W757" s="146"/>
      <c r="X757" s="146"/>
      <c r="Y757" s="146"/>
      <c r="Z757" s="146"/>
    </row>
    <row r="758" spans="1:26" ht="15.75" customHeight="1" x14ac:dyDescent="0.25">
      <c r="A758" s="146"/>
      <c r="B758" s="146"/>
      <c r="C758" s="146"/>
      <c r="D758" s="146"/>
      <c r="E758" s="146"/>
      <c r="F758" s="146"/>
      <c r="G758" s="146"/>
      <c r="H758" s="146"/>
      <c r="I758" s="146"/>
      <c r="J758" s="146"/>
      <c r="K758" s="146"/>
      <c r="L758" s="146"/>
      <c r="M758" s="146"/>
      <c r="N758" s="146"/>
      <c r="O758" s="146"/>
      <c r="P758" s="146"/>
      <c r="Q758" s="146"/>
      <c r="R758" s="146"/>
      <c r="S758" s="146"/>
      <c r="T758" s="146"/>
      <c r="U758" s="146"/>
      <c r="V758" s="146"/>
      <c r="W758" s="146"/>
      <c r="X758" s="146"/>
      <c r="Y758" s="146"/>
      <c r="Z758" s="146"/>
    </row>
    <row r="759" spans="1:26" ht="15.75" customHeight="1" x14ac:dyDescent="0.25">
      <c r="A759" s="146"/>
      <c r="B759" s="146"/>
      <c r="C759" s="146"/>
      <c r="D759" s="146"/>
      <c r="E759" s="146"/>
      <c r="F759" s="146"/>
      <c r="G759" s="146"/>
      <c r="H759" s="146"/>
      <c r="I759" s="146"/>
      <c r="J759" s="146"/>
      <c r="K759" s="146"/>
      <c r="L759" s="146"/>
      <c r="M759" s="146"/>
      <c r="N759" s="146"/>
      <c r="O759" s="146"/>
      <c r="P759" s="146"/>
      <c r="Q759" s="146"/>
      <c r="R759" s="146"/>
      <c r="S759" s="146"/>
      <c r="T759" s="146"/>
      <c r="U759" s="146"/>
      <c r="V759" s="146"/>
      <c r="W759" s="146"/>
      <c r="X759" s="146"/>
      <c r="Y759" s="146"/>
      <c r="Z759" s="146"/>
    </row>
    <row r="760" spans="1:26" ht="15.75" customHeight="1" x14ac:dyDescent="0.25">
      <c r="A760" s="146"/>
      <c r="B760" s="146"/>
      <c r="C760" s="146"/>
      <c r="D760" s="146"/>
      <c r="E760" s="146"/>
      <c r="F760" s="146"/>
      <c r="G760" s="146"/>
      <c r="H760" s="146"/>
      <c r="I760" s="146"/>
      <c r="J760" s="146"/>
      <c r="K760" s="146"/>
      <c r="L760" s="146"/>
      <c r="M760" s="146"/>
      <c r="N760" s="146"/>
      <c r="O760" s="146"/>
      <c r="P760" s="146"/>
      <c r="Q760" s="146"/>
      <c r="R760" s="146"/>
      <c r="S760" s="146"/>
      <c r="T760" s="146"/>
      <c r="U760" s="146"/>
      <c r="V760" s="146"/>
      <c r="W760" s="146"/>
      <c r="X760" s="146"/>
      <c r="Y760" s="146"/>
      <c r="Z760" s="146"/>
    </row>
    <row r="761" spans="1:26" ht="15.75" customHeight="1" x14ac:dyDescent="0.25">
      <c r="A761" s="146"/>
      <c r="B761" s="146"/>
      <c r="C761" s="146"/>
      <c r="D761" s="146"/>
      <c r="E761" s="146"/>
      <c r="F761" s="146"/>
      <c r="G761" s="146"/>
      <c r="H761" s="146"/>
      <c r="I761" s="146"/>
      <c r="J761" s="146"/>
      <c r="K761" s="146"/>
      <c r="L761" s="146"/>
      <c r="M761" s="146"/>
      <c r="N761" s="146"/>
      <c r="O761" s="146"/>
      <c r="P761" s="146"/>
      <c r="Q761" s="146"/>
      <c r="R761" s="146"/>
      <c r="S761" s="146"/>
      <c r="T761" s="146"/>
      <c r="U761" s="146"/>
      <c r="V761" s="146"/>
      <c r="W761" s="146"/>
      <c r="X761" s="146"/>
      <c r="Y761" s="146"/>
      <c r="Z761" s="146"/>
    </row>
    <row r="762" spans="1:26" ht="15.75" customHeight="1" x14ac:dyDescent="0.25">
      <c r="A762" s="146"/>
      <c r="B762" s="146"/>
      <c r="C762" s="146"/>
      <c r="D762" s="146"/>
      <c r="E762" s="146"/>
      <c r="F762" s="146"/>
      <c r="G762" s="146"/>
      <c r="H762" s="146"/>
      <c r="I762" s="146"/>
      <c r="J762" s="146"/>
      <c r="K762" s="146"/>
      <c r="L762" s="146"/>
      <c r="M762" s="146"/>
      <c r="N762" s="146"/>
      <c r="O762" s="146"/>
      <c r="P762" s="146"/>
      <c r="Q762" s="146"/>
      <c r="R762" s="146"/>
      <c r="S762" s="146"/>
      <c r="T762" s="146"/>
      <c r="U762" s="146"/>
      <c r="V762" s="146"/>
      <c r="W762" s="146"/>
      <c r="X762" s="146"/>
      <c r="Y762" s="146"/>
      <c r="Z762" s="146"/>
    </row>
    <row r="763" spans="1:26" ht="15.75" customHeight="1" x14ac:dyDescent="0.25">
      <c r="A763" s="146"/>
      <c r="B763" s="146"/>
      <c r="C763" s="146"/>
      <c r="D763" s="146"/>
      <c r="E763" s="146"/>
      <c r="F763" s="146"/>
      <c r="G763" s="146"/>
      <c r="H763" s="146"/>
      <c r="I763" s="146"/>
      <c r="J763" s="146"/>
      <c r="K763" s="146"/>
      <c r="L763" s="146"/>
      <c r="M763" s="146"/>
      <c r="N763" s="146"/>
      <c r="O763" s="146"/>
      <c r="P763" s="146"/>
      <c r="Q763" s="146"/>
      <c r="R763" s="146"/>
      <c r="S763" s="146"/>
      <c r="T763" s="146"/>
      <c r="U763" s="146"/>
      <c r="V763" s="146"/>
      <c r="W763" s="146"/>
      <c r="X763" s="146"/>
      <c r="Y763" s="146"/>
      <c r="Z763" s="146"/>
    </row>
    <row r="764" spans="1:26" ht="15.75" customHeight="1" x14ac:dyDescent="0.25">
      <c r="A764" s="146"/>
      <c r="B764" s="146"/>
      <c r="C764" s="146"/>
      <c r="D764" s="146"/>
      <c r="E764" s="146"/>
      <c r="F764" s="146"/>
      <c r="G764" s="146"/>
      <c r="H764" s="146"/>
      <c r="I764" s="146"/>
      <c r="J764" s="146"/>
      <c r="K764" s="146"/>
      <c r="L764" s="146"/>
      <c r="M764" s="146"/>
      <c r="N764" s="146"/>
      <c r="O764" s="146"/>
      <c r="P764" s="146"/>
      <c r="Q764" s="146"/>
      <c r="R764" s="146"/>
      <c r="S764" s="146"/>
      <c r="T764" s="146"/>
      <c r="U764" s="146"/>
      <c r="V764" s="146"/>
      <c r="W764" s="146"/>
      <c r="X764" s="146"/>
      <c r="Y764" s="146"/>
      <c r="Z764" s="146"/>
    </row>
    <row r="765" spans="1:26" ht="15.75" customHeight="1" x14ac:dyDescent="0.25">
      <c r="A765" s="146"/>
      <c r="B765" s="146"/>
      <c r="C765" s="146"/>
      <c r="D765" s="146"/>
      <c r="E765" s="146"/>
      <c r="F765" s="146"/>
      <c r="G765" s="146"/>
      <c r="H765" s="146"/>
      <c r="I765" s="146"/>
      <c r="J765" s="146"/>
      <c r="K765" s="146"/>
      <c r="L765" s="146"/>
      <c r="M765" s="146"/>
      <c r="N765" s="146"/>
      <c r="O765" s="146"/>
      <c r="P765" s="146"/>
      <c r="Q765" s="146"/>
      <c r="R765" s="146"/>
      <c r="S765" s="146"/>
      <c r="T765" s="146"/>
      <c r="U765" s="146"/>
      <c r="V765" s="146"/>
      <c r="W765" s="146"/>
      <c r="X765" s="146"/>
      <c r="Y765" s="146"/>
      <c r="Z765" s="146"/>
    </row>
    <row r="766" spans="1:26" ht="15.75" customHeight="1" x14ac:dyDescent="0.25">
      <c r="A766" s="146"/>
      <c r="B766" s="146"/>
      <c r="C766" s="146"/>
      <c r="D766" s="146"/>
      <c r="E766" s="146"/>
      <c r="F766" s="146"/>
      <c r="G766" s="146"/>
      <c r="H766" s="146"/>
      <c r="I766" s="146"/>
      <c r="J766" s="146"/>
      <c r="K766" s="146"/>
      <c r="L766" s="146"/>
      <c r="M766" s="146"/>
      <c r="N766" s="146"/>
      <c r="O766" s="146"/>
      <c r="P766" s="146"/>
      <c r="Q766" s="146"/>
      <c r="R766" s="146"/>
      <c r="S766" s="146"/>
      <c r="T766" s="146"/>
      <c r="U766" s="146"/>
      <c r="V766" s="146"/>
      <c r="W766" s="146"/>
      <c r="X766" s="146"/>
      <c r="Y766" s="146"/>
      <c r="Z766" s="146"/>
    </row>
    <row r="767" spans="1:26" ht="15.75" customHeight="1" x14ac:dyDescent="0.25">
      <c r="A767" s="146"/>
      <c r="B767" s="146"/>
      <c r="C767" s="146"/>
      <c r="D767" s="146"/>
      <c r="E767" s="146"/>
      <c r="F767" s="146"/>
      <c r="G767" s="146"/>
      <c r="H767" s="146"/>
      <c r="I767" s="146"/>
      <c r="J767" s="146"/>
      <c r="K767" s="146"/>
      <c r="L767" s="146"/>
      <c r="M767" s="146"/>
      <c r="N767" s="146"/>
      <c r="O767" s="146"/>
      <c r="P767" s="146"/>
      <c r="Q767" s="146"/>
      <c r="R767" s="146"/>
      <c r="S767" s="146"/>
      <c r="T767" s="146"/>
      <c r="U767" s="146"/>
      <c r="V767" s="146"/>
      <c r="W767" s="146"/>
      <c r="X767" s="146"/>
      <c r="Y767" s="146"/>
      <c r="Z767" s="146"/>
    </row>
    <row r="768" spans="1:26" ht="15.75" customHeight="1" x14ac:dyDescent="0.25">
      <c r="A768" s="146"/>
      <c r="B768" s="146"/>
      <c r="C768" s="146"/>
      <c r="D768" s="146"/>
      <c r="E768" s="146"/>
      <c r="F768" s="146"/>
      <c r="G768" s="146"/>
      <c r="H768" s="146"/>
      <c r="I768" s="146"/>
      <c r="J768" s="146"/>
      <c r="K768" s="146"/>
      <c r="L768" s="146"/>
      <c r="M768" s="146"/>
      <c r="N768" s="146"/>
      <c r="O768" s="146"/>
      <c r="P768" s="146"/>
      <c r="Q768" s="146"/>
      <c r="R768" s="146"/>
      <c r="S768" s="146"/>
      <c r="T768" s="146"/>
      <c r="U768" s="146"/>
      <c r="V768" s="146"/>
      <c r="W768" s="146"/>
      <c r="X768" s="146"/>
      <c r="Y768" s="146"/>
      <c r="Z768" s="146"/>
    </row>
    <row r="769" spans="1:26" ht="15.75" customHeight="1" x14ac:dyDescent="0.25">
      <c r="A769" s="146"/>
      <c r="B769" s="146"/>
      <c r="C769" s="146"/>
      <c r="D769" s="146"/>
      <c r="E769" s="146"/>
      <c r="F769" s="146"/>
      <c r="G769" s="146"/>
      <c r="H769" s="146"/>
      <c r="I769" s="146"/>
      <c r="J769" s="146"/>
      <c r="K769" s="146"/>
      <c r="L769" s="146"/>
      <c r="M769" s="146"/>
      <c r="N769" s="146"/>
      <c r="O769" s="146"/>
      <c r="P769" s="146"/>
      <c r="Q769" s="146"/>
      <c r="R769" s="146"/>
      <c r="S769" s="146"/>
      <c r="T769" s="146"/>
      <c r="U769" s="146"/>
      <c r="V769" s="146"/>
      <c r="W769" s="146"/>
      <c r="X769" s="146"/>
      <c r="Y769" s="146"/>
      <c r="Z769" s="146"/>
    </row>
    <row r="770" spans="1:26" ht="15.75" customHeight="1" x14ac:dyDescent="0.25">
      <c r="A770" s="146"/>
      <c r="B770" s="146"/>
      <c r="C770" s="146"/>
      <c r="D770" s="146"/>
      <c r="E770" s="146"/>
      <c r="F770" s="146"/>
      <c r="G770" s="146"/>
      <c r="H770" s="146"/>
      <c r="I770" s="146"/>
      <c r="J770" s="146"/>
      <c r="K770" s="146"/>
      <c r="L770" s="146"/>
      <c r="M770" s="146"/>
      <c r="N770" s="146"/>
      <c r="O770" s="146"/>
      <c r="P770" s="146"/>
      <c r="Q770" s="146"/>
      <c r="R770" s="146"/>
      <c r="S770" s="146"/>
      <c r="T770" s="146"/>
      <c r="U770" s="146"/>
      <c r="V770" s="146"/>
      <c r="W770" s="146"/>
      <c r="X770" s="146"/>
      <c r="Y770" s="146"/>
      <c r="Z770" s="146"/>
    </row>
    <row r="771" spans="1:26" ht="15.75" customHeight="1" x14ac:dyDescent="0.25">
      <c r="A771" s="146"/>
      <c r="B771" s="146"/>
      <c r="C771" s="146"/>
      <c r="D771" s="146"/>
      <c r="E771" s="146"/>
      <c r="F771" s="146"/>
      <c r="G771" s="146"/>
      <c r="H771" s="146"/>
      <c r="I771" s="146"/>
      <c r="J771" s="146"/>
      <c r="K771" s="146"/>
      <c r="L771" s="146"/>
      <c r="M771" s="146"/>
      <c r="N771" s="146"/>
      <c r="O771" s="146"/>
      <c r="P771" s="146"/>
      <c r="Q771" s="146"/>
      <c r="R771" s="146"/>
      <c r="S771" s="146"/>
      <c r="T771" s="146"/>
      <c r="U771" s="146"/>
      <c r="V771" s="146"/>
      <c r="W771" s="146"/>
      <c r="X771" s="146"/>
      <c r="Y771" s="146"/>
      <c r="Z771" s="146"/>
    </row>
    <row r="772" spans="1:26" ht="15.75" customHeight="1" x14ac:dyDescent="0.25">
      <c r="A772" s="146"/>
      <c r="B772" s="146"/>
      <c r="C772" s="146"/>
      <c r="D772" s="146"/>
      <c r="E772" s="146"/>
      <c r="F772" s="146"/>
      <c r="G772" s="146"/>
      <c r="H772" s="146"/>
      <c r="I772" s="146"/>
      <c r="J772" s="146"/>
      <c r="K772" s="146"/>
      <c r="L772" s="146"/>
      <c r="M772" s="146"/>
      <c r="N772" s="146"/>
      <c r="O772" s="146"/>
      <c r="P772" s="146"/>
      <c r="Q772" s="146"/>
      <c r="R772" s="146"/>
      <c r="S772" s="146"/>
      <c r="T772" s="146"/>
      <c r="U772" s="146"/>
      <c r="V772" s="146"/>
      <c r="W772" s="146"/>
      <c r="X772" s="146"/>
      <c r="Y772" s="146"/>
      <c r="Z772" s="146"/>
    </row>
    <row r="773" spans="1:26" ht="15.75" customHeight="1" x14ac:dyDescent="0.25">
      <c r="A773" s="146"/>
      <c r="B773" s="146"/>
      <c r="C773" s="146"/>
      <c r="D773" s="146"/>
      <c r="E773" s="146"/>
      <c r="F773" s="146"/>
      <c r="G773" s="146"/>
      <c r="H773" s="146"/>
      <c r="I773" s="146"/>
      <c r="J773" s="146"/>
      <c r="K773" s="146"/>
      <c r="L773" s="146"/>
      <c r="M773" s="146"/>
      <c r="N773" s="146"/>
      <c r="O773" s="146"/>
      <c r="P773" s="146"/>
      <c r="Q773" s="146"/>
      <c r="R773" s="146"/>
      <c r="S773" s="146"/>
      <c r="T773" s="146"/>
      <c r="U773" s="146"/>
      <c r="V773" s="146"/>
      <c r="W773" s="146"/>
      <c r="X773" s="146"/>
      <c r="Y773" s="146"/>
      <c r="Z773" s="146"/>
    </row>
    <row r="774" spans="1:26" ht="15.75" customHeight="1" x14ac:dyDescent="0.25">
      <c r="A774" s="146"/>
      <c r="B774" s="146"/>
      <c r="C774" s="146"/>
      <c r="D774" s="146"/>
      <c r="E774" s="146"/>
      <c r="F774" s="146"/>
      <c r="G774" s="146"/>
      <c r="H774" s="146"/>
      <c r="I774" s="146"/>
      <c r="J774" s="146"/>
      <c r="K774" s="146"/>
      <c r="L774" s="146"/>
      <c r="M774" s="146"/>
      <c r="N774" s="146"/>
      <c r="O774" s="146"/>
      <c r="P774" s="146"/>
      <c r="Q774" s="146"/>
      <c r="R774" s="146"/>
      <c r="S774" s="146"/>
      <c r="T774" s="146"/>
      <c r="U774" s="146"/>
      <c r="V774" s="146"/>
      <c r="W774" s="146"/>
      <c r="X774" s="146"/>
      <c r="Y774" s="146"/>
      <c r="Z774" s="146"/>
    </row>
    <row r="775" spans="1:26" ht="15.75" customHeight="1" x14ac:dyDescent="0.25">
      <c r="A775" s="146"/>
      <c r="B775" s="146"/>
      <c r="C775" s="146"/>
      <c r="D775" s="146"/>
      <c r="E775" s="146"/>
      <c r="F775" s="146"/>
      <c r="G775" s="146"/>
      <c r="H775" s="146"/>
      <c r="I775" s="146"/>
      <c r="J775" s="146"/>
      <c r="K775" s="146"/>
      <c r="L775" s="146"/>
      <c r="M775" s="146"/>
      <c r="N775" s="146"/>
      <c r="O775" s="146"/>
      <c r="P775" s="146"/>
      <c r="Q775" s="146"/>
      <c r="R775" s="146"/>
      <c r="S775" s="146"/>
      <c r="T775" s="146"/>
      <c r="U775" s="146"/>
      <c r="V775" s="146"/>
      <c r="W775" s="146"/>
      <c r="X775" s="146"/>
      <c r="Y775" s="146"/>
      <c r="Z775" s="146"/>
    </row>
    <row r="776" spans="1:26" ht="15.75" customHeight="1" x14ac:dyDescent="0.25">
      <c r="A776" s="146"/>
      <c r="B776" s="146"/>
      <c r="C776" s="146"/>
      <c r="D776" s="146"/>
      <c r="E776" s="146"/>
      <c r="F776" s="146"/>
      <c r="G776" s="146"/>
      <c r="H776" s="146"/>
      <c r="I776" s="146"/>
      <c r="J776" s="146"/>
      <c r="K776" s="146"/>
      <c r="L776" s="146"/>
      <c r="M776" s="146"/>
      <c r="N776" s="146"/>
      <c r="O776" s="146"/>
      <c r="P776" s="146"/>
      <c r="Q776" s="146"/>
      <c r="R776" s="146"/>
      <c r="S776" s="146"/>
      <c r="T776" s="146"/>
      <c r="U776" s="146"/>
      <c r="V776" s="146"/>
      <c r="W776" s="146"/>
      <c r="X776" s="146"/>
      <c r="Y776" s="146"/>
      <c r="Z776" s="146"/>
    </row>
    <row r="777" spans="1:26" ht="15.75" customHeight="1" x14ac:dyDescent="0.25">
      <c r="A777" s="146"/>
      <c r="B777" s="146"/>
      <c r="C777" s="146"/>
      <c r="D777" s="146"/>
      <c r="E777" s="146"/>
      <c r="F777" s="146"/>
      <c r="G777" s="146"/>
      <c r="H777" s="146"/>
      <c r="I777" s="146"/>
      <c r="J777" s="146"/>
      <c r="K777" s="146"/>
      <c r="L777" s="146"/>
      <c r="M777" s="146"/>
      <c r="N777" s="146"/>
      <c r="O777" s="146"/>
      <c r="P777" s="146"/>
      <c r="Q777" s="146"/>
      <c r="R777" s="146"/>
      <c r="S777" s="146"/>
      <c r="T777" s="146"/>
      <c r="U777" s="146"/>
      <c r="V777" s="146"/>
      <c r="W777" s="146"/>
      <c r="X777" s="146"/>
      <c r="Y777" s="146"/>
      <c r="Z777" s="146"/>
    </row>
    <row r="778" spans="1:26" ht="15.75" customHeight="1" x14ac:dyDescent="0.25">
      <c r="A778" s="146"/>
      <c r="B778" s="146"/>
      <c r="C778" s="146"/>
      <c r="D778" s="146"/>
      <c r="E778" s="146"/>
      <c r="F778" s="146"/>
      <c r="G778" s="146"/>
      <c r="H778" s="146"/>
      <c r="I778" s="146"/>
      <c r="J778" s="146"/>
      <c r="K778" s="146"/>
      <c r="L778" s="146"/>
      <c r="M778" s="146"/>
      <c r="N778" s="146"/>
      <c r="O778" s="146"/>
      <c r="P778" s="146"/>
      <c r="Q778" s="146"/>
      <c r="R778" s="146"/>
      <c r="S778" s="146"/>
      <c r="T778" s="146"/>
      <c r="U778" s="146"/>
      <c r="V778" s="146"/>
      <c r="W778" s="146"/>
      <c r="X778" s="146"/>
      <c r="Y778" s="146"/>
      <c r="Z778" s="146"/>
    </row>
    <row r="779" spans="1:26" ht="15.75" customHeight="1" x14ac:dyDescent="0.25">
      <c r="A779" s="146"/>
      <c r="B779" s="146"/>
      <c r="C779" s="146"/>
      <c r="D779" s="146"/>
      <c r="E779" s="146"/>
      <c r="F779" s="146"/>
      <c r="G779" s="146"/>
      <c r="H779" s="146"/>
      <c r="I779" s="146"/>
      <c r="J779" s="146"/>
      <c r="K779" s="146"/>
      <c r="L779" s="146"/>
      <c r="M779" s="146"/>
      <c r="N779" s="146"/>
      <c r="O779" s="146"/>
      <c r="P779" s="146"/>
      <c r="Q779" s="146"/>
      <c r="R779" s="146"/>
      <c r="S779" s="146"/>
      <c r="T779" s="146"/>
      <c r="U779" s="146"/>
      <c r="V779" s="146"/>
      <c r="W779" s="146"/>
      <c r="X779" s="146"/>
      <c r="Y779" s="146"/>
      <c r="Z779" s="146"/>
    </row>
    <row r="780" spans="1:26" ht="15.75" customHeight="1" x14ac:dyDescent="0.25">
      <c r="A780" s="146"/>
      <c r="B780" s="146"/>
      <c r="C780" s="146"/>
      <c r="D780" s="146"/>
      <c r="E780" s="146"/>
      <c r="F780" s="146"/>
      <c r="G780" s="146"/>
      <c r="H780" s="146"/>
      <c r="I780" s="146"/>
      <c r="J780" s="146"/>
      <c r="K780" s="146"/>
      <c r="L780" s="146"/>
      <c r="M780" s="146"/>
      <c r="N780" s="146"/>
      <c r="O780" s="146"/>
      <c r="P780" s="146"/>
      <c r="Q780" s="146"/>
      <c r="R780" s="146"/>
      <c r="S780" s="146"/>
      <c r="T780" s="146"/>
      <c r="U780" s="146"/>
      <c r="V780" s="146"/>
      <c r="W780" s="146"/>
      <c r="X780" s="146"/>
      <c r="Y780" s="146"/>
      <c r="Z780" s="146"/>
    </row>
    <row r="781" spans="1:26" ht="15.75" customHeight="1" x14ac:dyDescent="0.25">
      <c r="A781" s="146"/>
      <c r="B781" s="146"/>
      <c r="C781" s="146"/>
      <c r="D781" s="146"/>
      <c r="E781" s="146"/>
      <c r="F781" s="146"/>
      <c r="G781" s="146"/>
      <c r="H781" s="146"/>
      <c r="I781" s="146"/>
      <c r="J781" s="146"/>
      <c r="K781" s="146"/>
      <c r="L781" s="146"/>
      <c r="M781" s="146"/>
      <c r="N781" s="146"/>
      <c r="O781" s="146"/>
      <c r="P781" s="146"/>
      <c r="Q781" s="146"/>
      <c r="R781" s="146"/>
      <c r="S781" s="146"/>
      <c r="T781" s="146"/>
      <c r="U781" s="146"/>
      <c r="V781" s="146"/>
      <c r="W781" s="146"/>
      <c r="X781" s="146"/>
      <c r="Y781" s="146"/>
      <c r="Z781" s="146"/>
    </row>
    <row r="782" spans="1:26" ht="15.75" customHeight="1" x14ac:dyDescent="0.25">
      <c r="A782" s="146"/>
      <c r="B782" s="146"/>
      <c r="C782" s="146"/>
      <c r="D782" s="146"/>
      <c r="E782" s="146"/>
      <c r="F782" s="146"/>
      <c r="G782" s="146"/>
      <c r="H782" s="146"/>
      <c r="I782" s="146"/>
      <c r="J782" s="146"/>
      <c r="K782" s="146"/>
      <c r="L782" s="146"/>
      <c r="M782" s="146"/>
      <c r="N782" s="146"/>
      <c r="O782" s="146"/>
      <c r="P782" s="146"/>
      <c r="Q782" s="146"/>
      <c r="R782" s="146"/>
      <c r="S782" s="146"/>
      <c r="T782" s="146"/>
      <c r="U782" s="146"/>
      <c r="V782" s="146"/>
      <c r="W782" s="146"/>
      <c r="X782" s="146"/>
      <c r="Y782" s="146"/>
      <c r="Z782" s="146"/>
    </row>
    <row r="783" spans="1:26" ht="15.75" customHeight="1" x14ac:dyDescent="0.25">
      <c r="A783" s="146"/>
      <c r="B783" s="146"/>
      <c r="C783" s="146"/>
      <c r="D783" s="146"/>
      <c r="E783" s="146"/>
      <c r="F783" s="146"/>
      <c r="G783" s="146"/>
      <c r="H783" s="146"/>
      <c r="I783" s="146"/>
      <c r="J783" s="146"/>
      <c r="K783" s="146"/>
      <c r="L783" s="146"/>
      <c r="M783" s="146"/>
      <c r="N783" s="146"/>
      <c r="O783" s="146"/>
      <c r="P783" s="146"/>
      <c r="Q783" s="146"/>
      <c r="R783" s="146"/>
      <c r="S783" s="146"/>
      <c r="T783" s="146"/>
      <c r="U783" s="146"/>
      <c r="V783" s="146"/>
      <c r="W783" s="146"/>
      <c r="X783" s="146"/>
      <c r="Y783" s="146"/>
      <c r="Z783" s="146"/>
    </row>
    <row r="784" spans="1:26" ht="15.75" customHeight="1" x14ac:dyDescent="0.25">
      <c r="A784" s="146"/>
      <c r="B784" s="146"/>
      <c r="C784" s="146"/>
      <c r="D784" s="146"/>
      <c r="E784" s="146"/>
      <c r="F784" s="146"/>
      <c r="G784" s="146"/>
      <c r="H784" s="146"/>
      <c r="I784" s="146"/>
      <c r="J784" s="146"/>
      <c r="K784" s="146"/>
      <c r="L784" s="146"/>
      <c r="M784" s="146"/>
      <c r="N784" s="146"/>
      <c r="O784" s="146"/>
      <c r="P784" s="146"/>
      <c r="Q784" s="146"/>
      <c r="R784" s="146"/>
      <c r="S784" s="146"/>
      <c r="T784" s="146"/>
      <c r="U784" s="146"/>
      <c r="V784" s="146"/>
      <c r="W784" s="146"/>
      <c r="X784" s="146"/>
      <c r="Y784" s="146"/>
      <c r="Z784" s="146"/>
    </row>
    <row r="785" spans="1:26" ht="15.75" customHeight="1" x14ac:dyDescent="0.25">
      <c r="A785" s="146"/>
      <c r="B785" s="146"/>
      <c r="C785" s="146"/>
      <c r="D785" s="146"/>
      <c r="E785" s="146"/>
      <c r="F785" s="146"/>
      <c r="G785" s="146"/>
      <c r="H785" s="146"/>
      <c r="I785" s="146"/>
      <c r="J785" s="146"/>
      <c r="K785" s="146"/>
      <c r="L785" s="146"/>
      <c r="M785" s="146"/>
      <c r="N785" s="146"/>
      <c r="O785" s="146"/>
      <c r="P785" s="146"/>
      <c r="Q785" s="146"/>
      <c r="R785" s="146"/>
      <c r="S785" s="146"/>
      <c r="T785" s="146"/>
      <c r="U785" s="146"/>
      <c r="V785" s="146"/>
      <c r="W785" s="146"/>
      <c r="X785" s="146"/>
      <c r="Y785" s="146"/>
      <c r="Z785" s="146"/>
    </row>
    <row r="786" spans="1:26" ht="15.75" customHeight="1" x14ac:dyDescent="0.25">
      <c r="A786" s="146"/>
      <c r="B786" s="146"/>
      <c r="C786" s="146"/>
      <c r="D786" s="146"/>
      <c r="E786" s="146"/>
      <c r="F786" s="146"/>
      <c r="G786" s="146"/>
      <c r="H786" s="146"/>
      <c r="I786" s="146"/>
      <c r="J786" s="146"/>
      <c r="K786" s="146"/>
      <c r="L786" s="146"/>
      <c r="M786" s="146"/>
      <c r="N786" s="146"/>
      <c r="O786" s="146"/>
      <c r="P786" s="146"/>
      <c r="Q786" s="146"/>
      <c r="R786" s="146"/>
      <c r="S786" s="146"/>
      <c r="T786" s="146"/>
      <c r="U786" s="146"/>
      <c r="V786" s="146"/>
      <c r="W786" s="146"/>
      <c r="X786" s="146"/>
      <c r="Y786" s="146"/>
      <c r="Z786" s="146"/>
    </row>
    <row r="787" spans="1:26" ht="15.75" customHeight="1" x14ac:dyDescent="0.25">
      <c r="A787" s="146"/>
      <c r="B787" s="146"/>
      <c r="C787" s="146"/>
      <c r="D787" s="146"/>
      <c r="E787" s="146"/>
      <c r="F787" s="146"/>
      <c r="G787" s="146"/>
      <c r="H787" s="146"/>
      <c r="I787" s="146"/>
      <c r="J787" s="146"/>
      <c r="K787" s="146"/>
      <c r="L787" s="146"/>
      <c r="M787" s="146"/>
      <c r="N787" s="146"/>
      <c r="O787" s="146"/>
      <c r="P787" s="146"/>
      <c r="Q787" s="146"/>
      <c r="R787" s="146"/>
      <c r="S787" s="146"/>
      <c r="T787" s="146"/>
      <c r="U787" s="146"/>
      <c r="V787" s="146"/>
      <c r="W787" s="146"/>
      <c r="X787" s="146"/>
      <c r="Y787" s="146"/>
      <c r="Z787" s="146"/>
    </row>
    <row r="788" spans="1:26" ht="15.75" customHeight="1" x14ac:dyDescent="0.25">
      <c r="A788" s="146"/>
      <c r="B788" s="146"/>
      <c r="C788" s="146"/>
      <c r="D788" s="146"/>
      <c r="E788" s="146"/>
      <c r="F788" s="146"/>
      <c r="G788" s="146"/>
      <c r="H788" s="146"/>
      <c r="I788" s="146"/>
      <c r="J788" s="146"/>
      <c r="K788" s="146"/>
      <c r="L788" s="146"/>
      <c r="M788" s="146"/>
      <c r="N788" s="146"/>
      <c r="O788" s="146"/>
      <c r="P788" s="146"/>
      <c r="Q788" s="146"/>
      <c r="R788" s="146"/>
      <c r="S788" s="146"/>
      <c r="T788" s="146"/>
      <c r="U788" s="146"/>
      <c r="V788" s="146"/>
      <c r="W788" s="146"/>
      <c r="X788" s="146"/>
      <c r="Y788" s="146"/>
      <c r="Z788" s="146"/>
    </row>
    <row r="789" spans="1:26" ht="15.75" customHeight="1" x14ac:dyDescent="0.25">
      <c r="A789" s="146"/>
      <c r="B789" s="146"/>
      <c r="C789" s="146"/>
      <c r="D789" s="146"/>
      <c r="E789" s="146"/>
      <c r="F789" s="146"/>
      <c r="G789" s="146"/>
      <c r="H789" s="146"/>
      <c r="I789" s="146"/>
      <c r="J789" s="146"/>
      <c r="K789" s="146"/>
      <c r="L789" s="146"/>
      <c r="M789" s="146"/>
      <c r="N789" s="146"/>
      <c r="O789" s="146"/>
      <c r="P789" s="146"/>
      <c r="Q789" s="146"/>
      <c r="R789" s="146"/>
      <c r="S789" s="146"/>
      <c r="T789" s="146"/>
      <c r="U789" s="146"/>
      <c r="V789" s="146"/>
      <c r="W789" s="146"/>
      <c r="X789" s="146"/>
      <c r="Y789" s="146"/>
      <c r="Z789" s="146"/>
    </row>
    <row r="790" spans="1:26" ht="15.75" customHeight="1" x14ac:dyDescent="0.25">
      <c r="A790" s="146"/>
      <c r="B790" s="146"/>
      <c r="C790" s="146"/>
      <c r="D790" s="146"/>
      <c r="E790" s="146"/>
      <c r="F790" s="146"/>
      <c r="G790" s="146"/>
      <c r="H790" s="146"/>
      <c r="I790" s="146"/>
      <c r="J790" s="146"/>
      <c r="K790" s="146"/>
      <c r="L790" s="146"/>
      <c r="M790" s="146"/>
      <c r="N790" s="146"/>
      <c r="O790" s="146"/>
      <c r="P790" s="146"/>
      <c r="Q790" s="146"/>
      <c r="R790" s="146"/>
      <c r="S790" s="146"/>
      <c r="T790" s="146"/>
      <c r="U790" s="146"/>
      <c r="V790" s="146"/>
      <c r="W790" s="146"/>
      <c r="X790" s="146"/>
      <c r="Y790" s="146"/>
      <c r="Z790" s="146"/>
    </row>
    <row r="791" spans="1:26" ht="15.75" customHeight="1" x14ac:dyDescent="0.25">
      <c r="A791" s="146"/>
      <c r="B791" s="146"/>
      <c r="C791" s="146"/>
      <c r="D791" s="146"/>
      <c r="E791" s="146"/>
      <c r="F791" s="146"/>
      <c r="G791" s="146"/>
      <c r="H791" s="146"/>
      <c r="I791" s="146"/>
      <c r="J791" s="146"/>
      <c r="K791" s="146"/>
      <c r="L791" s="146"/>
      <c r="M791" s="146"/>
      <c r="N791" s="146"/>
      <c r="O791" s="146"/>
      <c r="P791" s="146"/>
      <c r="Q791" s="146"/>
      <c r="R791" s="146"/>
      <c r="S791" s="146"/>
      <c r="T791" s="146"/>
      <c r="U791" s="146"/>
      <c r="V791" s="146"/>
      <c r="W791" s="146"/>
      <c r="X791" s="146"/>
      <c r="Y791" s="146"/>
      <c r="Z791" s="146"/>
    </row>
    <row r="792" spans="1:26" ht="15.75" customHeight="1" x14ac:dyDescent="0.25">
      <c r="A792" s="146"/>
      <c r="B792" s="146"/>
      <c r="C792" s="146"/>
      <c r="D792" s="146"/>
      <c r="E792" s="146"/>
      <c r="F792" s="146"/>
      <c r="G792" s="146"/>
      <c r="H792" s="146"/>
      <c r="I792" s="146"/>
      <c r="J792" s="146"/>
      <c r="K792" s="146"/>
      <c r="L792" s="146"/>
      <c r="M792" s="146"/>
      <c r="N792" s="146"/>
      <c r="O792" s="146"/>
      <c r="P792" s="146"/>
      <c r="Q792" s="146"/>
      <c r="R792" s="146"/>
      <c r="S792" s="146"/>
      <c r="T792" s="146"/>
      <c r="U792" s="146"/>
      <c r="V792" s="146"/>
      <c r="W792" s="146"/>
      <c r="X792" s="146"/>
      <c r="Y792" s="146"/>
      <c r="Z792" s="146"/>
    </row>
    <row r="793" spans="1:26" ht="15.75" customHeight="1" x14ac:dyDescent="0.25">
      <c r="A793" s="146"/>
      <c r="B793" s="146"/>
      <c r="C793" s="146"/>
      <c r="D793" s="146"/>
      <c r="E793" s="146"/>
      <c r="F793" s="146"/>
      <c r="G793" s="146"/>
      <c r="H793" s="146"/>
      <c r="I793" s="146"/>
      <c r="J793" s="146"/>
      <c r="K793" s="146"/>
      <c r="L793" s="146"/>
      <c r="M793" s="146"/>
      <c r="N793" s="146"/>
      <c r="O793" s="146"/>
      <c r="P793" s="146"/>
      <c r="Q793" s="146"/>
      <c r="R793" s="146"/>
      <c r="S793" s="146"/>
      <c r="T793" s="146"/>
      <c r="U793" s="146"/>
      <c r="V793" s="146"/>
      <c r="W793" s="146"/>
      <c r="X793" s="146"/>
      <c r="Y793" s="146"/>
      <c r="Z793" s="146"/>
    </row>
    <row r="794" spans="1:26" ht="15.75" customHeight="1" x14ac:dyDescent="0.25">
      <c r="A794" s="146"/>
      <c r="B794" s="146"/>
      <c r="C794" s="146"/>
      <c r="D794" s="146"/>
      <c r="E794" s="146"/>
      <c r="F794" s="146"/>
      <c r="G794" s="146"/>
      <c r="H794" s="146"/>
      <c r="I794" s="146"/>
      <c r="J794" s="146"/>
      <c r="K794" s="146"/>
      <c r="L794" s="146"/>
      <c r="M794" s="146"/>
      <c r="N794" s="146"/>
      <c r="O794" s="146"/>
      <c r="P794" s="146"/>
      <c r="Q794" s="146"/>
      <c r="R794" s="146"/>
      <c r="S794" s="146"/>
      <c r="T794" s="146"/>
      <c r="U794" s="146"/>
      <c r="V794" s="146"/>
      <c r="W794" s="146"/>
      <c r="X794" s="146"/>
      <c r="Y794" s="146"/>
      <c r="Z794" s="146"/>
    </row>
    <row r="795" spans="1:26" ht="15.75" customHeight="1" x14ac:dyDescent="0.25">
      <c r="A795" s="146"/>
      <c r="B795" s="146"/>
      <c r="C795" s="146"/>
      <c r="D795" s="146"/>
      <c r="E795" s="146"/>
      <c r="F795" s="146"/>
      <c r="G795" s="146"/>
      <c r="H795" s="146"/>
      <c r="I795" s="146"/>
      <c r="J795" s="146"/>
      <c r="K795" s="146"/>
      <c r="L795" s="146"/>
      <c r="M795" s="146"/>
      <c r="N795" s="146"/>
      <c r="O795" s="146"/>
      <c r="P795" s="146"/>
      <c r="Q795" s="146"/>
      <c r="R795" s="146"/>
      <c r="S795" s="146"/>
      <c r="T795" s="146"/>
      <c r="U795" s="146"/>
      <c r="V795" s="146"/>
      <c r="W795" s="146"/>
      <c r="X795" s="146"/>
      <c r="Y795" s="146"/>
      <c r="Z795" s="146"/>
    </row>
    <row r="796" spans="1:26" ht="15.75" customHeight="1" x14ac:dyDescent="0.25">
      <c r="A796" s="146"/>
      <c r="B796" s="146"/>
      <c r="C796" s="146"/>
      <c r="D796" s="146"/>
      <c r="E796" s="146"/>
      <c r="F796" s="146"/>
      <c r="G796" s="146"/>
      <c r="H796" s="146"/>
      <c r="I796" s="146"/>
      <c r="J796" s="146"/>
      <c r="K796" s="146"/>
      <c r="L796" s="146"/>
      <c r="M796" s="146"/>
      <c r="N796" s="146"/>
      <c r="O796" s="146"/>
      <c r="P796" s="146"/>
      <c r="Q796" s="146"/>
      <c r="R796" s="146"/>
      <c r="S796" s="146"/>
      <c r="T796" s="146"/>
      <c r="U796" s="146"/>
      <c r="V796" s="146"/>
      <c r="W796" s="146"/>
      <c r="X796" s="146"/>
      <c r="Y796" s="146"/>
      <c r="Z796" s="146"/>
    </row>
    <row r="797" spans="1:26" ht="15.75" customHeight="1" x14ac:dyDescent="0.25">
      <c r="A797" s="146"/>
      <c r="B797" s="146"/>
      <c r="C797" s="146"/>
      <c r="D797" s="146"/>
      <c r="E797" s="146"/>
      <c r="F797" s="146"/>
      <c r="G797" s="146"/>
      <c r="H797" s="146"/>
      <c r="I797" s="146"/>
      <c r="J797" s="146"/>
      <c r="K797" s="146"/>
      <c r="L797" s="146"/>
      <c r="M797" s="146"/>
      <c r="N797" s="146"/>
      <c r="O797" s="146"/>
      <c r="P797" s="146"/>
      <c r="Q797" s="146"/>
      <c r="R797" s="146"/>
      <c r="S797" s="146"/>
      <c r="T797" s="146"/>
      <c r="U797" s="146"/>
      <c r="V797" s="146"/>
      <c r="W797" s="146"/>
      <c r="X797" s="146"/>
      <c r="Y797" s="146"/>
      <c r="Z797" s="146"/>
    </row>
    <row r="798" spans="1:26" ht="15.75" customHeight="1" x14ac:dyDescent="0.25">
      <c r="A798" s="146"/>
      <c r="B798" s="146"/>
      <c r="C798" s="146"/>
      <c r="D798" s="146"/>
      <c r="E798" s="146"/>
      <c r="F798" s="146"/>
      <c r="G798" s="146"/>
      <c r="H798" s="146"/>
      <c r="I798" s="146"/>
      <c r="J798" s="146"/>
      <c r="K798" s="146"/>
      <c r="L798" s="146"/>
      <c r="M798" s="146"/>
      <c r="N798" s="146"/>
      <c r="O798" s="146"/>
      <c r="P798" s="146"/>
      <c r="Q798" s="146"/>
      <c r="R798" s="146"/>
      <c r="S798" s="146"/>
      <c r="T798" s="146"/>
      <c r="U798" s="146"/>
      <c r="V798" s="146"/>
      <c r="W798" s="146"/>
      <c r="X798" s="146"/>
      <c r="Y798" s="146"/>
      <c r="Z798" s="146"/>
    </row>
    <row r="799" spans="1:26" ht="15.75" customHeight="1" x14ac:dyDescent="0.25">
      <c r="A799" s="146"/>
      <c r="B799" s="146"/>
      <c r="C799" s="146"/>
      <c r="D799" s="146"/>
      <c r="E799" s="146"/>
      <c r="F799" s="146"/>
      <c r="G799" s="146"/>
      <c r="H799" s="146"/>
      <c r="I799" s="146"/>
      <c r="J799" s="146"/>
      <c r="K799" s="146"/>
      <c r="L799" s="146"/>
      <c r="M799" s="146"/>
      <c r="N799" s="146"/>
      <c r="O799" s="146"/>
      <c r="P799" s="146"/>
      <c r="Q799" s="146"/>
      <c r="R799" s="146"/>
      <c r="S799" s="146"/>
      <c r="T799" s="146"/>
      <c r="U799" s="146"/>
      <c r="V799" s="146"/>
      <c r="W799" s="146"/>
      <c r="X799" s="146"/>
      <c r="Y799" s="146"/>
      <c r="Z799" s="146"/>
    </row>
    <row r="800" spans="1:26" ht="15.75" customHeight="1" x14ac:dyDescent="0.25">
      <c r="A800" s="146"/>
      <c r="B800" s="146"/>
      <c r="C800" s="146"/>
      <c r="D800" s="146"/>
      <c r="E800" s="146"/>
      <c r="F800" s="146"/>
      <c r="G800" s="146"/>
      <c r="H800" s="146"/>
      <c r="I800" s="146"/>
      <c r="J800" s="146"/>
      <c r="K800" s="146"/>
      <c r="L800" s="146"/>
      <c r="M800" s="146"/>
      <c r="N800" s="146"/>
      <c r="O800" s="146"/>
      <c r="P800" s="146"/>
      <c r="Q800" s="146"/>
      <c r="R800" s="146"/>
      <c r="S800" s="146"/>
      <c r="T800" s="146"/>
      <c r="U800" s="146"/>
      <c r="V800" s="146"/>
      <c r="W800" s="146"/>
      <c r="X800" s="146"/>
      <c r="Y800" s="146"/>
      <c r="Z800" s="146"/>
    </row>
    <row r="801" spans="1:26" ht="15.75" customHeight="1" x14ac:dyDescent="0.25">
      <c r="A801" s="146"/>
      <c r="B801" s="146"/>
      <c r="C801" s="146"/>
      <c r="D801" s="146"/>
      <c r="E801" s="146"/>
      <c r="F801" s="146"/>
      <c r="G801" s="146"/>
      <c r="H801" s="146"/>
      <c r="I801" s="146"/>
      <c r="J801" s="146"/>
      <c r="K801" s="146"/>
      <c r="L801" s="146"/>
      <c r="M801" s="146"/>
      <c r="N801" s="146"/>
      <c r="O801" s="146"/>
      <c r="P801" s="146"/>
      <c r="Q801" s="146"/>
      <c r="R801" s="146"/>
      <c r="S801" s="146"/>
      <c r="T801" s="146"/>
      <c r="U801" s="146"/>
      <c r="V801" s="146"/>
      <c r="W801" s="146"/>
      <c r="X801" s="146"/>
      <c r="Y801" s="146"/>
      <c r="Z801" s="146"/>
    </row>
    <row r="802" spans="1:26" ht="15.75" customHeight="1" x14ac:dyDescent="0.25">
      <c r="A802" s="146"/>
      <c r="B802" s="146"/>
      <c r="C802" s="146"/>
      <c r="D802" s="146"/>
      <c r="E802" s="146"/>
      <c r="F802" s="146"/>
      <c r="G802" s="146"/>
      <c r="H802" s="146"/>
      <c r="I802" s="146"/>
      <c r="J802" s="146"/>
      <c r="K802" s="146"/>
      <c r="L802" s="146"/>
      <c r="M802" s="146"/>
      <c r="N802" s="146"/>
      <c r="O802" s="146"/>
      <c r="P802" s="146"/>
      <c r="Q802" s="146"/>
      <c r="R802" s="146"/>
      <c r="S802" s="146"/>
      <c r="T802" s="146"/>
      <c r="U802" s="146"/>
      <c r="V802" s="146"/>
      <c r="W802" s="146"/>
      <c r="X802" s="146"/>
      <c r="Y802" s="146"/>
      <c r="Z802" s="146"/>
    </row>
    <row r="803" spans="1:26" ht="15.75" customHeight="1" x14ac:dyDescent="0.25">
      <c r="A803" s="146"/>
      <c r="B803" s="146"/>
      <c r="C803" s="146"/>
      <c r="D803" s="146"/>
      <c r="E803" s="146"/>
      <c r="F803" s="146"/>
      <c r="G803" s="146"/>
      <c r="H803" s="146"/>
      <c r="I803" s="146"/>
      <c r="J803" s="146"/>
      <c r="K803" s="146"/>
      <c r="L803" s="146"/>
      <c r="M803" s="146"/>
      <c r="N803" s="146"/>
      <c r="O803" s="146"/>
      <c r="P803" s="146"/>
      <c r="Q803" s="146"/>
      <c r="R803" s="146"/>
      <c r="S803" s="146"/>
      <c r="T803" s="146"/>
      <c r="U803" s="146"/>
      <c r="V803" s="146"/>
      <c r="W803" s="146"/>
      <c r="X803" s="146"/>
      <c r="Y803" s="146"/>
      <c r="Z803" s="146"/>
    </row>
    <row r="804" spans="1:26" ht="15.75" customHeight="1" x14ac:dyDescent="0.25">
      <c r="A804" s="146"/>
      <c r="B804" s="146"/>
      <c r="C804" s="146"/>
      <c r="D804" s="146"/>
      <c r="E804" s="146"/>
      <c r="F804" s="146"/>
      <c r="G804" s="146"/>
      <c r="H804" s="146"/>
      <c r="I804" s="146"/>
      <c r="J804" s="146"/>
      <c r="K804" s="146"/>
      <c r="L804" s="146"/>
      <c r="M804" s="146"/>
      <c r="N804" s="146"/>
      <c r="O804" s="146"/>
      <c r="P804" s="146"/>
      <c r="Q804" s="146"/>
      <c r="R804" s="146"/>
      <c r="S804" s="146"/>
      <c r="T804" s="146"/>
      <c r="U804" s="146"/>
      <c r="V804" s="146"/>
      <c r="W804" s="146"/>
      <c r="X804" s="146"/>
      <c r="Y804" s="146"/>
      <c r="Z804" s="146"/>
    </row>
    <row r="805" spans="1:26" ht="15.75" customHeight="1" x14ac:dyDescent="0.25">
      <c r="A805" s="146"/>
      <c r="B805" s="146"/>
      <c r="C805" s="146"/>
      <c r="D805" s="146"/>
      <c r="E805" s="146"/>
      <c r="F805" s="146"/>
      <c r="G805" s="146"/>
      <c r="H805" s="146"/>
      <c r="I805" s="146"/>
      <c r="J805" s="146"/>
      <c r="K805" s="146"/>
      <c r="L805" s="146"/>
      <c r="M805" s="146"/>
      <c r="N805" s="146"/>
      <c r="O805" s="146"/>
      <c r="P805" s="146"/>
      <c r="Q805" s="146"/>
      <c r="R805" s="146"/>
      <c r="S805" s="146"/>
      <c r="T805" s="146"/>
      <c r="U805" s="146"/>
      <c r="V805" s="146"/>
      <c r="W805" s="146"/>
      <c r="X805" s="146"/>
      <c r="Y805" s="146"/>
      <c r="Z805" s="146"/>
    </row>
    <row r="806" spans="1:26" ht="15.75" customHeight="1" x14ac:dyDescent="0.25">
      <c r="A806" s="146"/>
      <c r="B806" s="146"/>
      <c r="C806" s="146"/>
      <c r="D806" s="146"/>
      <c r="E806" s="146"/>
      <c r="F806" s="146"/>
      <c r="G806" s="146"/>
      <c r="H806" s="146"/>
      <c r="I806" s="146"/>
      <c r="J806" s="146"/>
      <c r="K806" s="146"/>
      <c r="L806" s="146"/>
      <c r="M806" s="146"/>
      <c r="N806" s="146"/>
      <c r="O806" s="146"/>
      <c r="P806" s="146"/>
      <c r="Q806" s="146"/>
      <c r="R806" s="146"/>
      <c r="S806" s="146"/>
      <c r="T806" s="146"/>
      <c r="U806" s="146"/>
      <c r="V806" s="146"/>
      <c r="W806" s="146"/>
      <c r="X806" s="146"/>
      <c r="Y806" s="146"/>
      <c r="Z806" s="146"/>
    </row>
    <row r="807" spans="1:26" ht="15.75" customHeight="1" x14ac:dyDescent="0.25">
      <c r="A807" s="146"/>
      <c r="B807" s="146"/>
      <c r="C807" s="146"/>
      <c r="D807" s="146"/>
      <c r="E807" s="146"/>
      <c r="F807" s="146"/>
      <c r="G807" s="146"/>
      <c r="H807" s="146"/>
      <c r="I807" s="146"/>
      <c r="J807" s="146"/>
      <c r="K807" s="146"/>
      <c r="L807" s="146"/>
      <c r="M807" s="146"/>
      <c r="N807" s="146"/>
      <c r="O807" s="146"/>
      <c r="P807" s="146"/>
      <c r="Q807" s="146"/>
      <c r="R807" s="146"/>
      <c r="S807" s="146"/>
      <c r="T807" s="146"/>
      <c r="U807" s="146"/>
      <c r="V807" s="146"/>
      <c r="W807" s="146"/>
      <c r="X807" s="146"/>
      <c r="Y807" s="146"/>
      <c r="Z807" s="146"/>
    </row>
    <row r="808" spans="1:26" ht="15.75" customHeight="1" x14ac:dyDescent="0.25">
      <c r="A808" s="146"/>
      <c r="B808" s="146"/>
      <c r="C808" s="146"/>
      <c r="D808" s="146"/>
      <c r="E808" s="146"/>
      <c r="F808" s="146"/>
      <c r="G808" s="146"/>
      <c r="H808" s="146"/>
      <c r="I808" s="146"/>
      <c r="J808" s="146"/>
      <c r="K808" s="146"/>
      <c r="L808" s="146"/>
      <c r="M808" s="146"/>
      <c r="N808" s="146"/>
      <c r="O808" s="146"/>
      <c r="P808" s="146"/>
      <c r="Q808" s="146"/>
      <c r="R808" s="146"/>
      <c r="S808" s="146"/>
      <c r="T808" s="146"/>
      <c r="U808" s="146"/>
      <c r="V808" s="146"/>
      <c r="W808" s="146"/>
      <c r="X808" s="146"/>
      <c r="Y808" s="146"/>
      <c r="Z808" s="146"/>
    </row>
    <row r="809" spans="1:26" ht="15.75" customHeight="1" x14ac:dyDescent="0.25">
      <c r="A809" s="146"/>
      <c r="B809" s="146"/>
      <c r="C809" s="146"/>
      <c r="D809" s="146"/>
      <c r="E809" s="146"/>
      <c r="F809" s="146"/>
      <c r="G809" s="146"/>
      <c r="H809" s="146"/>
      <c r="I809" s="146"/>
      <c r="J809" s="146"/>
      <c r="K809" s="146"/>
      <c r="L809" s="146"/>
      <c r="M809" s="146"/>
      <c r="N809" s="146"/>
      <c r="O809" s="146"/>
      <c r="P809" s="146"/>
      <c r="Q809" s="146"/>
      <c r="R809" s="146"/>
      <c r="S809" s="146"/>
      <c r="T809" s="146"/>
      <c r="U809" s="146"/>
      <c r="V809" s="146"/>
      <c r="W809" s="146"/>
      <c r="X809" s="146"/>
      <c r="Y809" s="146"/>
      <c r="Z809" s="146"/>
    </row>
    <row r="810" spans="1:26" ht="15.75" customHeight="1" x14ac:dyDescent="0.25">
      <c r="A810" s="146"/>
      <c r="B810" s="146"/>
      <c r="C810" s="146"/>
      <c r="D810" s="146"/>
      <c r="E810" s="146"/>
      <c r="F810" s="146"/>
      <c r="G810" s="146"/>
      <c r="H810" s="146"/>
      <c r="I810" s="146"/>
      <c r="J810" s="146"/>
      <c r="K810" s="146"/>
      <c r="L810" s="146"/>
      <c r="M810" s="146"/>
      <c r="N810" s="146"/>
      <c r="O810" s="146"/>
      <c r="P810" s="146"/>
      <c r="Q810" s="146"/>
      <c r="R810" s="146"/>
      <c r="S810" s="146"/>
      <c r="T810" s="146"/>
      <c r="U810" s="146"/>
      <c r="V810" s="146"/>
      <c r="W810" s="146"/>
      <c r="X810" s="146"/>
      <c r="Y810" s="146"/>
      <c r="Z810" s="146"/>
    </row>
    <row r="811" spans="1:26" ht="15.75" customHeight="1" x14ac:dyDescent="0.25">
      <c r="A811" s="146"/>
      <c r="B811" s="146"/>
      <c r="C811" s="146"/>
      <c r="D811" s="146"/>
      <c r="E811" s="146"/>
      <c r="F811" s="146"/>
      <c r="G811" s="146"/>
      <c r="H811" s="146"/>
      <c r="I811" s="146"/>
      <c r="J811" s="146"/>
      <c r="K811" s="146"/>
      <c r="L811" s="146"/>
      <c r="M811" s="146"/>
      <c r="N811" s="146"/>
      <c r="O811" s="146"/>
      <c r="P811" s="146"/>
      <c r="Q811" s="146"/>
      <c r="R811" s="146"/>
      <c r="S811" s="146"/>
      <c r="T811" s="146"/>
      <c r="U811" s="146"/>
      <c r="V811" s="146"/>
      <c r="W811" s="146"/>
      <c r="X811" s="146"/>
      <c r="Y811" s="146"/>
      <c r="Z811" s="146"/>
    </row>
    <row r="812" spans="1:26" ht="15.75" customHeight="1" x14ac:dyDescent="0.25">
      <c r="A812" s="146"/>
      <c r="B812" s="146"/>
      <c r="C812" s="146"/>
      <c r="D812" s="146"/>
      <c r="E812" s="146"/>
      <c r="F812" s="146"/>
      <c r="G812" s="146"/>
      <c r="H812" s="146"/>
      <c r="I812" s="146"/>
      <c r="J812" s="146"/>
      <c r="K812" s="146"/>
      <c r="L812" s="146"/>
      <c r="M812" s="146"/>
      <c r="N812" s="146"/>
      <c r="O812" s="146"/>
      <c r="P812" s="146"/>
      <c r="Q812" s="146"/>
      <c r="R812" s="146"/>
      <c r="S812" s="146"/>
      <c r="T812" s="146"/>
      <c r="U812" s="146"/>
      <c r="V812" s="146"/>
      <c r="W812" s="146"/>
      <c r="X812" s="146"/>
      <c r="Y812" s="146"/>
      <c r="Z812" s="146"/>
    </row>
    <row r="813" spans="1:26" ht="15.75" customHeight="1" x14ac:dyDescent="0.25">
      <c r="A813" s="146"/>
      <c r="B813" s="146"/>
      <c r="C813" s="146"/>
      <c r="D813" s="146"/>
      <c r="E813" s="146"/>
      <c r="F813" s="146"/>
      <c r="G813" s="146"/>
      <c r="H813" s="146"/>
      <c r="I813" s="146"/>
      <c r="J813" s="146"/>
      <c r="K813" s="146"/>
      <c r="L813" s="146"/>
      <c r="M813" s="146"/>
      <c r="N813" s="146"/>
      <c r="O813" s="146"/>
      <c r="P813" s="146"/>
      <c r="Q813" s="146"/>
      <c r="R813" s="146"/>
      <c r="S813" s="146"/>
      <c r="T813" s="146"/>
      <c r="U813" s="146"/>
      <c r="V813" s="146"/>
      <c r="W813" s="146"/>
      <c r="X813" s="146"/>
      <c r="Y813" s="146"/>
      <c r="Z813" s="146"/>
    </row>
    <row r="814" spans="1:26" ht="15.75" customHeight="1" x14ac:dyDescent="0.25">
      <c r="A814" s="146"/>
      <c r="B814" s="146"/>
      <c r="C814" s="146"/>
      <c r="D814" s="146"/>
      <c r="E814" s="146"/>
      <c r="F814" s="146"/>
      <c r="G814" s="146"/>
      <c r="H814" s="146"/>
      <c r="I814" s="146"/>
      <c r="J814" s="146"/>
      <c r="K814" s="146"/>
      <c r="L814" s="146"/>
      <c r="M814" s="146"/>
      <c r="N814" s="146"/>
      <c r="O814" s="146"/>
      <c r="P814" s="146"/>
      <c r="Q814" s="146"/>
      <c r="R814" s="146"/>
      <c r="S814" s="146"/>
      <c r="T814" s="146"/>
      <c r="U814" s="146"/>
      <c r="V814" s="146"/>
      <c r="W814" s="146"/>
      <c r="X814" s="146"/>
      <c r="Y814" s="146"/>
      <c r="Z814" s="146"/>
    </row>
    <row r="815" spans="1:26" ht="15.75" customHeight="1" x14ac:dyDescent="0.25">
      <c r="A815" s="146"/>
      <c r="B815" s="146"/>
      <c r="C815" s="146"/>
      <c r="D815" s="146"/>
      <c r="E815" s="146"/>
      <c r="F815" s="146"/>
      <c r="G815" s="146"/>
      <c r="H815" s="146"/>
      <c r="I815" s="146"/>
      <c r="J815" s="146"/>
      <c r="K815" s="146"/>
      <c r="L815" s="146"/>
      <c r="M815" s="146"/>
      <c r="N815" s="146"/>
      <c r="O815" s="146"/>
      <c r="P815" s="146"/>
      <c r="Q815" s="146"/>
      <c r="R815" s="146"/>
      <c r="S815" s="146"/>
      <c r="T815" s="146"/>
      <c r="U815" s="146"/>
      <c r="V815" s="146"/>
      <c r="W815" s="146"/>
      <c r="X815" s="146"/>
      <c r="Y815" s="146"/>
      <c r="Z815" s="146"/>
    </row>
    <row r="816" spans="1:26" ht="15.75" customHeight="1" x14ac:dyDescent="0.25">
      <c r="A816" s="146"/>
      <c r="B816" s="146"/>
      <c r="C816" s="146"/>
      <c r="D816" s="146"/>
      <c r="E816" s="146"/>
      <c r="F816" s="146"/>
      <c r="G816" s="146"/>
      <c r="H816" s="146"/>
      <c r="I816" s="146"/>
      <c r="J816" s="146"/>
      <c r="K816" s="146"/>
      <c r="L816" s="146"/>
      <c r="M816" s="146"/>
      <c r="N816" s="146"/>
      <c r="O816" s="146"/>
      <c r="P816" s="146"/>
      <c r="Q816" s="146"/>
      <c r="R816" s="146"/>
      <c r="S816" s="146"/>
      <c r="T816" s="146"/>
      <c r="U816" s="146"/>
      <c r="V816" s="146"/>
      <c r="W816" s="146"/>
      <c r="X816" s="146"/>
      <c r="Y816" s="146"/>
      <c r="Z816" s="146"/>
    </row>
    <row r="817" spans="1:26" ht="15.75" customHeight="1" x14ac:dyDescent="0.25">
      <c r="A817" s="146"/>
      <c r="B817" s="146"/>
      <c r="C817" s="146"/>
      <c r="D817" s="146"/>
      <c r="E817" s="146"/>
      <c r="F817" s="146"/>
      <c r="G817" s="146"/>
      <c r="H817" s="146"/>
      <c r="I817" s="146"/>
      <c r="J817" s="146"/>
      <c r="K817" s="146"/>
      <c r="L817" s="146"/>
      <c r="M817" s="146"/>
      <c r="N817" s="146"/>
      <c r="O817" s="146"/>
      <c r="P817" s="146"/>
      <c r="Q817" s="146"/>
      <c r="R817" s="146"/>
      <c r="S817" s="146"/>
      <c r="T817" s="146"/>
      <c r="U817" s="146"/>
      <c r="V817" s="146"/>
      <c r="W817" s="146"/>
      <c r="X817" s="146"/>
      <c r="Y817" s="146"/>
      <c r="Z817" s="146"/>
    </row>
    <row r="818" spans="1:26" ht="15.75" customHeight="1" x14ac:dyDescent="0.25">
      <c r="A818" s="146"/>
      <c r="B818" s="146"/>
      <c r="C818" s="146"/>
      <c r="D818" s="146"/>
      <c r="E818" s="146"/>
      <c r="F818" s="146"/>
      <c r="G818" s="146"/>
      <c r="H818" s="146"/>
      <c r="I818" s="146"/>
      <c r="J818" s="146"/>
      <c r="K818" s="146"/>
      <c r="L818" s="146"/>
      <c r="M818" s="146"/>
      <c r="N818" s="146"/>
      <c r="O818" s="146"/>
      <c r="P818" s="146"/>
      <c r="Q818" s="146"/>
      <c r="R818" s="146"/>
      <c r="S818" s="146"/>
      <c r="T818" s="146"/>
      <c r="U818" s="146"/>
      <c r="V818" s="146"/>
      <c r="W818" s="146"/>
      <c r="X818" s="146"/>
      <c r="Y818" s="146"/>
      <c r="Z818" s="146"/>
    </row>
    <row r="819" spans="1:26" ht="15.75" customHeight="1" x14ac:dyDescent="0.25">
      <c r="A819" s="146"/>
      <c r="B819" s="146"/>
      <c r="C819" s="146"/>
      <c r="D819" s="146"/>
      <c r="E819" s="146"/>
      <c r="F819" s="146"/>
      <c r="G819" s="146"/>
      <c r="H819" s="146"/>
      <c r="I819" s="146"/>
      <c r="J819" s="146"/>
      <c r="K819" s="146"/>
      <c r="L819" s="146"/>
      <c r="M819" s="146"/>
      <c r="N819" s="146"/>
      <c r="O819" s="146"/>
      <c r="P819" s="146"/>
      <c r="Q819" s="146"/>
      <c r="R819" s="146"/>
      <c r="S819" s="146"/>
      <c r="T819" s="146"/>
      <c r="U819" s="146"/>
      <c r="V819" s="146"/>
      <c r="W819" s="146"/>
      <c r="X819" s="146"/>
      <c r="Y819" s="146"/>
      <c r="Z819" s="146"/>
    </row>
    <row r="820" spans="1:26" ht="15.75" customHeight="1" x14ac:dyDescent="0.25">
      <c r="A820" s="146"/>
      <c r="B820" s="146"/>
      <c r="C820" s="146"/>
      <c r="D820" s="146"/>
      <c r="E820" s="146"/>
      <c r="F820" s="146"/>
      <c r="G820" s="146"/>
      <c r="H820" s="146"/>
      <c r="I820" s="146"/>
      <c r="J820" s="146"/>
      <c r="K820" s="146"/>
      <c r="L820" s="146"/>
      <c r="M820" s="146"/>
      <c r="N820" s="146"/>
      <c r="O820" s="146"/>
      <c r="P820" s="146"/>
      <c r="Q820" s="146"/>
      <c r="R820" s="146"/>
      <c r="S820" s="146"/>
      <c r="T820" s="146"/>
      <c r="U820" s="146"/>
      <c r="V820" s="146"/>
      <c r="W820" s="146"/>
      <c r="X820" s="146"/>
      <c r="Y820" s="146"/>
      <c r="Z820" s="146"/>
    </row>
    <row r="821" spans="1:26" ht="15.75" customHeight="1" x14ac:dyDescent="0.25">
      <c r="A821" s="146"/>
      <c r="B821" s="146"/>
      <c r="C821" s="146"/>
      <c r="D821" s="146"/>
      <c r="E821" s="146"/>
      <c r="F821" s="146"/>
      <c r="G821" s="146"/>
      <c r="H821" s="146"/>
      <c r="I821" s="146"/>
      <c r="J821" s="146"/>
      <c r="K821" s="146"/>
      <c r="L821" s="146"/>
      <c r="M821" s="146"/>
      <c r="N821" s="146"/>
      <c r="O821" s="146"/>
      <c r="P821" s="146"/>
      <c r="Q821" s="146"/>
      <c r="R821" s="146"/>
      <c r="S821" s="146"/>
      <c r="T821" s="146"/>
      <c r="U821" s="146"/>
      <c r="V821" s="146"/>
      <c r="W821" s="146"/>
      <c r="X821" s="146"/>
      <c r="Y821" s="146"/>
      <c r="Z821" s="146"/>
    </row>
    <row r="822" spans="1:26" ht="15.75" customHeight="1" x14ac:dyDescent="0.25">
      <c r="A822" s="146"/>
      <c r="B822" s="146"/>
      <c r="C822" s="146"/>
      <c r="D822" s="146"/>
      <c r="E822" s="146"/>
      <c r="F822" s="146"/>
      <c r="G822" s="146"/>
      <c r="H822" s="146"/>
      <c r="I822" s="146"/>
      <c r="J822" s="146"/>
      <c r="K822" s="146"/>
      <c r="L822" s="146"/>
      <c r="M822" s="146"/>
      <c r="N822" s="146"/>
      <c r="O822" s="146"/>
      <c r="P822" s="146"/>
      <c r="Q822" s="146"/>
      <c r="R822" s="146"/>
      <c r="S822" s="146"/>
      <c r="T822" s="146"/>
      <c r="U822" s="146"/>
      <c r="V822" s="146"/>
      <c r="W822" s="146"/>
      <c r="X822" s="146"/>
      <c r="Y822" s="146"/>
      <c r="Z822" s="146"/>
    </row>
    <row r="823" spans="1:26" ht="15.75" customHeight="1" x14ac:dyDescent="0.25">
      <c r="A823" s="146"/>
      <c r="B823" s="146"/>
      <c r="C823" s="146"/>
      <c r="D823" s="146"/>
      <c r="E823" s="146"/>
      <c r="F823" s="146"/>
      <c r="G823" s="146"/>
      <c r="H823" s="146"/>
      <c r="I823" s="146"/>
      <c r="J823" s="146"/>
      <c r="K823" s="146"/>
      <c r="L823" s="146"/>
      <c r="M823" s="146"/>
      <c r="N823" s="146"/>
      <c r="O823" s="146"/>
      <c r="P823" s="146"/>
      <c r="Q823" s="146"/>
      <c r="R823" s="146"/>
      <c r="S823" s="146"/>
      <c r="T823" s="146"/>
      <c r="U823" s="146"/>
      <c r="V823" s="146"/>
      <c r="W823" s="146"/>
      <c r="X823" s="146"/>
      <c r="Y823" s="146"/>
      <c r="Z823" s="146"/>
    </row>
    <row r="824" spans="1:26" ht="15.75" customHeight="1" x14ac:dyDescent="0.25">
      <c r="A824" s="146"/>
      <c r="B824" s="146"/>
      <c r="C824" s="146"/>
      <c r="D824" s="146"/>
      <c r="E824" s="146"/>
      <c r="F824" s="146"/>
      <c r="G824" s="146"/>
      <c r="H824" s="146"/>
      <c r="I824" s="146"/>
      <c r="J824" s="146"/>
      <c r="K824" s="146"/>
      <c r="L824" s="146"/>
      <c r="M824" s="146"/>
      <c r="N824" s="146"/>
      <c r="O824" s="146"/>
      <c r="P824" s="146"/>
      <c r="Q824" s="146"/>
      <c r="R824" s="146"/>
      <c r="S824" s="146"/>
      <c r="T824" s="146"/>
      <c r="U824" s="146"/>
      <c r="V824" s="146"/>
      <c r="W824" s="146"/>
      <c r="X824" s="146"/>
      <c r="Y824" s="146"/>
      <c r="Z824" s="146"/>
    </row>
    <row r="825" spans="1:26" ht="15.75" customHeight="1" x14ac:dyDescent="0.25">
      <c r="A825" s="146"/>
      <c r="B825" s="146"/>
      <c r="C825" s="146"/>
      <c r="D825" s="146"/>
      <c r="E825" s="146"/>
      <c r="F825" s="146"/>
      <c r="G825" s="146"/>
      <c r="H825" s="146"/>
      <c r="I825" s="146"/>
      <c r="J825" s="146"/>
      <c r="K825" s="146"/>
      <c r="L825" s="146"/>
      <c r="M825" s="146"/>
      <c r="N825" s="146"/>
      <c r="O825" s="146"/>
      <c r="P825" s="146"/>
      <c r="Q825" s="146"/>
      <c r="R825" s="146"/>
      <c r="S825" s="146"/>
      <c r="T825" s="146"/>
      <c r="U825" s="146"/>
      <c r="V825" s="146"/>
      <c r="W825" s="146"/>
      <c r="X825" s="146"/>
      <c r="Y825" s="146"/>
      <c r="Z825" s="146"/>
    </row>
    <row r="826" spans="1:26" ht="15.75" customHeight="1" x14ac:dyDescent="0.25">
      <c r="A826" s="146"/>
      <c r="B826" s="146"/>
      <c r="C826" s="146"/>
      <c r="D826" s="146"/>
      <c r="E826" s="146"/>
      <c r="F826" s="146"/>
      <c r="G826" s="146"/>
      <c r="H826" s="146"/>
      <c r="I826" s="146"/>
      <c r="J826" s="146"/>
      <c r="K826" s="146"/>
      <c r="L826" s="146"/>
      <c r="M826" s="146"/>
      <c r="N826" s="146"/>
      <c r="O826" s="146"/>
      <c r="P826" s="146"/>
      <c r="Q826" s="146"/>
      <c r="R826" s="146"/>
      <c r="S826" s="146"/>
      <c r="T826" s="146"/>
      <c r="U826" s="146"/>
      <c r="V826" s="146"/>
      <c r="W826" s="146"/>
      <c r="X826" s="146"/>
      <c r="Y826" s="146"/>
      <c r="Z826" s="146"/>
    </row>
    <row r="827" spans="1:26" ht="15.75" customHeight="1" x14ac:dyDescent="0.25">
      <c r="A827" s="146"/>
      <c r="B827" s="146"/>
      <c r="C827" s="146"/>
      <c r="D827" s="146"/>
      <c r="E827" s="146"/>
      <c r="F827" s="146"/>
      <c r="G827" s="146"/>
      <c r="H827" s="146"/>
      <c r="I827" s="146"/>
      <c r="J827" s="146"/>
      <c r="K827" s="146"/>
      <c r="L827" s="146"/>
      <c r="M827" s="146"/>
      <c r="N827" s="146"/>
      <c r="O827" s="146"/>
      <c r="P827" s="146"/>
      <c r="Q827" s="146"/>
      <c r="R827" s="146"/>
      <c r="S827" s="146"/>
      <c r="T827" s="146"/>
      <c r="U827" s="146"/>
      <c r="V827" s="146"/>
      <c r="W827" s="146"/>
      <c r="X827" s="146"/>
      <c r="Y827" s="146"/>
      <c r="Z827" s="146"/>
    </row>
    <row r="828" spans="1:26" ht="15.75" customHeight="1" x14ac:dyDescent="0.25">
      <c r="A828" s="146"/>
      <c r="B828" s="146"/>
      <c r="C828" s="146"/>
      <c r="D828" s="146"/>
      <c r="E828" s="146"/>
      <c r="F828" s="146"/>
      <c r="G828" s="146"/>
      <c r="H828" s="146"/>
      <c r="I828" s="146"/>
      <c r="J828" s="146"/>
      <c r="K828" s="146"/>
      <c r="L828" s="146"/>
      <c r="M828" s="146"/>
      <c r="N828" s="146"/>
      <c r="O828" s="146"/>
      <c r="P828" s="146"/>
      <c r="Q828" s="146"/>
      <c r="R828" s="146"/>
      <c r="S828" s="146"/>
      <c r="T828" s="146"/>
      <c r="U828" s="146"/>
      <c r="V828" s="146"/>
      <c r="W828" s="146"/>
      <c r="X828" s="146"/>
      <c r="Y828" s="146"/>
      <c r="Z828" s="146"/>
    </row>
    <row r="829" spans="1:26" ht="15.75" customHeight="1" x14ac:dyDescent="0.25">
      <c r="A829" s="146"/>
      <c r="B829" s="146"/>
      <c r="C829" s="146"/>
      <c r="D829" s="146"/>
      <c r="E829" s="146"/>
      <c r="F829" s="146"/>
      <c r="G829" s="146"/>
      <c r="H829" s="146"/>
      <c r="I829" s="146"/>
      <c r="J829" s="146"/>
      <c r="K829" s="146"/>
      <c r="L829" s="146"/>
      <c r="M829" s="146"/>
      <c r="N829" s="146"/>
      <c r="O829" s="146"/>
      <c r="P829" s="146"/>
      <c r="Q829" s="146"/>
      <c r="R829" s="146"/>
      <c r="S829" s="146"/>
      <c r="T829" s="146"/>
      <c r="U829" s="146"/>
      <c r="V829" s="146"/>
      <c r="W829" s="146"/>
      <c r="X829" s="146"/>
      <c r="Y829" s="146"/>
      <c r="Z829" s="146"/>
    </row>
    <row r="830" spans="1:26" ht="15.75" customHeight="1" x14ac:dyDescent="0.25">
      <c r="A830" s="146"/>
      <c r="B830" s="146"/>
      <c r="C830" s="146"/>
      <c r="D830" s="146"/>
      <c r="E830" s="146"/>
      <c r="F830" s="146"/>
      <c r="G830" s="146"/>
      <c r="H830" s="146"/>
      <c r="I830" s="146"/>
      <c r="J830" s="146"/>
      <c r="K830" s="146"/>
      <c r="L830" s="146"/>
      <c r="M830" s="146"/>
      <c r="N830" s="146"/>
      <c r="O830" s="146"/>
      <c r="P830" s="146"/>
      <c r="Q830" s="146"/>
      <c r="R830" s="146"/>
      <c r="S830" s="146"/>
      <c r="T830" s="146"/>
      <c r="U830" s="146"/>
      <c r="V830" s="146"/>
      <c r="W830" s="146"/>
      <c r="X830" s="146"/>
      <c r="Y830" s="146"/>
      <c r="Z830" s="146"/>
    </row>
    <row r="831" spans="1:26" ht="15.75" customHeight="1" x14ac:dyDescent="0.25">
      <c r="A831" s="146"/>
      <c r="B831" s="146"/>
      <c r="C831" s="146"/>
      <c r="D831" s="146"/>
      <c r="E831" s="146"/>
      <c r="F831" s="146"/>
      <c r="G831" s="146"/>
      <c r="H831" s="146"/>
      <c r="I831" s="146"/>
      <c r="J831" s="146"/>
      <c r="K831" s="146"/>
      <c r="L831" s="146"/>
      <c r="M831" s="146"/>
      <c r="N831" s="146"/>
      <c r="O831" s="146"/>
      <c r="P831" s="146"/>
      <c r="Q831" s="146"/>
      <c r="R831" s="146"/>
      <c r="S831" s="146"/>
      <c r="T831" s="146"/>
      <c r="U831" s="146"/>
      <c r="V831" s="146"/>
      <c r="W831" s="146"/>
      <c r="X831" s="146"/>
      <c r="Y831" s="146"/>
      <c r="Z831" s="146"/>
    </row>
    <row r="832" spans="1:26" ht="15.75" customHeight="1" x14ac:dyDescent="0.25">
      <c r="A832" s="146"/>
      <c r="B832" s="146"/>
      <c r="C832" s="146"/>
      <c r="D832" s="146"/>
      <c r="E832" s="146"/>
      <c r="F832" s="146"/>
      <c r="G832" s="146"/>
      <c r="H832" s="146"/>
      <c r="I832" s="146"/>
      <c r="J832" s="146"/>
      <c r="K832" s="146"/>
      <c r="L832" s="146"/>
      <c r="M832" s="146"/>
      <c r="N832" s="146"/>
      <c r="O832" s="146"/>
      <c r="P832" s="146"/>
      <c r="Q832" s="146"/>
      <c r="R832" s="146"/>
      <c r="S832" s="146"/>
      <c r="T832" s="146"/>
      <c r="U832" s="146"/>
      <c r="V832" s="146"/>
      <c r="W832" s="146"/>
      <c r="X832" s="146"/>
      <c r="Y832" s="146"/>
      <c r="Z832" s="146"/>
    </row>
    <row r="833" spans="1:26" ht="15.75" customHeight="1" x14ac:dyDescent="0.25">
      <c r="A833" s="146"/>
      <c r="B833" s="146"/>
      <c r="C833" s="146"/>
      <c r="D833" s="146"/>
      <c r="E833" s="146"/>
      <c r="F833" s="146"/>
      <c r="G833" s="146"/>
      <c r="H833" s="146"/>
      <c r="I833" s="146"/>
      <c r="J833" s="146"/>
      <c r="K833" s="146"/>
      <c r="L833" s="146"/>
      <c r="M833" s="146"/>
      <c r="N833" s="146"/>
      <c r="O833" s="146"/>
      <c r="P833" s="146"/>
      <c r="Q833" s="146"/>
      <c r="R833" s="146"/>
      <c r="S833" s="146"/>
      <c r="T833" s="146"/>
      <c r="U833" s="146"/>
      <c r="V833" s="146"/>
      <c r="W833" s="146"/>
      <c r="X833" s="146"/>
      <c r="Y833" s="146"/>
      <c r="Z833" s="146"/>
    </row>
    <row r="834" spans="1:26" ht="15.75" customHeight="1" x14ac:dyDescent="0.25">
      <c r="A834" s="146"/>
      <c r="B834" s="146"/>
      <c r="C834" s="146"/>
      <c r="D834" s="146"/>
      <c r="E834" s="146"/>
      <c r="F834" s="146"/>
      <c r="G834" s="146"/>
      <c r="H834" s="146"/>
      <c r="I834" s="146"/>
      <c r="J834" s="146"/>
      <c r="K834" s="146"/>
      <c r="L834" s="146"/>
      <c r="M834" s="146"/>
      <c r="N834" s="146"/>
      <c r="O834" s="146"/>
      <c r="P834" s="146"/>
      <c r="Q834" s="146"/>
      <c r="R834" s="146"/>
      <c r="S834" s="146"/>
      <c r="T834" s="146"/>
      <c r="U834" s="146"/>
      <c r="V834" s="146"/>
      <c r="W834" s="146"/>
      <c r="X834" s="146"/>
      <c r="Y834" s="146"/>
      <c r="Z834" s="146"/>
    </row>
    <row r="835" spans="1:26" ht="15.75" customHeight="1" x14ac:dyDescent="0.25">
      <c r="A835" s="146"/>
      <c r="B835" s="146"/>
      <c r="C835" s="146"/>
      <c r="D835" s="146"/>
      <c r="E835" s="146"/>
      <c r="F835" s="146"/>
      <c r="G835" s="146"/>
      <c r="H835" s="146"/>
      <c r="I835" s="146"/>
      <c r="J835" s="146"/>
      <c r="K835" s="146"/>
      <c r="L835" s="146"/>
      <c r="M835" s="146"/>
      <c r="N835" s="146"/>
      <c r="O835" s="146"/>
      <c r="P835" s="146"/>
      <c r="Q835" s="146"/>
      <c r="R835" s="146"/>
      <c r="S835" s="146"/>
      <c r="T835" s="146"/>
      <c r="U835" s="146"/>
      <c r="V835" s="146"/>
      <c r="W835" s="146"/>
      <c r="X835" s="146"/>
      <c r="Y835" s="146"/>
      <c r="Z835" s="146"/>
    </row>
    <row r="836" spans="1:26" ht="15.75" customHeight="1" x14ac:dyDescent="0.25">
      <c r="A836" s="146"/>
      <c r="B836" s="146"/>
      <c r="C836" s="146"/>
      <c r="D836" s="146"/>
      <c r="E836" s="146"/>
      <c r="F836" s="146"/>
      <c r="G836" s="146"/>
      <c r="H836" s="146"/>
      <c r="I836" s="146"/>
      <c r="J836" s="146"/>
      <c r="K836" s="146"/>
      <c r="L836" s="146"/>
      <c r="M836" s="146"/>
      <c r="N836" s="146"/>
      <c r="O836" s="146"/>
      <c r="P836" s="146"/>
      <c r="Q836" s="146"/>
      <c r="R836" s="146"/>
      <c r="S836" s="146"/>
      <c r="T836" s="146"/>
      <c r="U836" s="146"/>
      <c r="V836" s="146"/>
      <c r="W836" s="146"/>
      <c r="X836" s="146"/>
      <c r="Y836" s="146"/>
      <c r="Z836" s="146"/>
    </row>
    <row r="837" spans="1:26" ht="15.75" customHeight="1" x14ac:dyDescent="0.25">
      <c r="A837" s="146"/>
      <c r="B837" s="146"/>
      <c r="C837" s="146"/>
      <c r="D837" s="146"/>
      <c r="E837" s="146"/>
      <c r="F837" s="146"/>
      <c r="G837" s="146"/>
      <c r="H837" s="146"/>
      <c r="I837" s="146"/>
      <c r="J837" s="146"/>
      <c r="K837" s="146"/>
      <c r="L837" s="146"/>
      <c r="M837" s="146"/>
      <c r="N837" s="146"/>
      <c r="O837" s="146"/>
      <c r="P837" s="146"/>
      <c r="Q837" s="146"/>
      <c r="R837" s="146"/>
      <c r="S837" s="146"/>
      <c r="T837" s="146"/>
      <c r="U837" s="146"/>
      <c r="V837" s="146"/>
      <c r="W837" s="146"/>
      <c r="X837" s="146"/>
      <c r="Y837" s="146"/>
      <c r="Z837" s="146"/>
    </row>
    <row r="838" spans="1:26" ht="15.75" customHeight="1" x14ac:dyDescent="0.25">
      <c r="A838" s="146"/>
      <c r="B838" s="146"/>
      <c r="C838" s="146"/>
      <c r="D838" s="146"/>
      <c r="E838" s="146"/>
      <c r="F838" s="146"/>
      <c r="G838" s="146"/>
      <c r="H838" s="146"/>
      <c r="I838" s="146"/>
      <c r="J838" s="146"/>
      <c r="K838" s="146"/>
      <c r="L838" s="146"/>
      <c r="M838" s="146"/>
      <c r="N838" s="146"/>
      <c r="O838" s="146"/>
      <c r="P838" s="146"/>
      <c r="Q838" s="146"/>
      <c r="R838" s="146"/>
      <c r="S838" s="146"/>
      <c r="T838" s="146"/>
      <c r="U838" s="146"/>
      <c r="V838" s="146"/>
      <c r="W838" s="146"/>
      <c r="X838" s="146"/>
      <c r="Y838" s="146"/>
      <c r="Z838" s="146"/>
    </row>
    <row r="839" spans="1:26" ht="15.75" customHeight="1" x14ac:dyDescent="0.25">
      <c r="A839" s="146"/>
      <c r="B839" s="146"/>
      <c r="C839" s="146"/>
      <c r="D839" s="146"/>
      <c r="E839" s="146"/>
      <c r="F839" s="146"/>
      <c r="G839" s="146"/>
      <c r="H839" s="146"/>
      <c r="I839" s="146"/>
      <c r="J839" s="146"/>
      <c r="K839" s="146"/>
      <c r="L839" s="146"/>
      <c r="M839" s="146"/>
      <c r="N839" s="146"/>
      <c r="O839" s="146"/>
      <c r="P839" s="146"/>
      <c r="Q839" s="146"/>
      <c r="R839" s="146"/>
      <c r="S839" s="146"/>
      <c r="T839" s="146"/>
      <c r="U839" s="146"/>
      <c r="V839" s="146"/>
      <c r="W839" s="146"/>
      <c r="X839" s="146"/>
      <c r="Y839" s="146"/>
      <c r="Z839" s="146"/>
    </row>
    <row r="840" spans="1:26" ht="15.75" customHeight="1" x14ac:dyDescent="0.25">
      <c r="A840" s="146"/>
      <c r="B840" s="146"/>
      <c r="C840" s="146"/>
      <c r="D840" s="146"/>
      <c r="E840" s="146"/>
      <c r="F840" s="146"/>
      <c r="G840" s="146"/>
      <c r="H840" s="146"/>
      <c r="I840" s="146"/>
      <c r="J840" s="146"/>
      <c r="K840" s="146"/>
      <c r="L840" s="146"/>
      <c r="M840" s="146"/>
      <c r="N840" s="146"/>
      <c r="O840" s="146"/>
      <c r="P840" s="146"/>
      <c r="Q840" s="146"/>
      <c r="R840" s="146"/>
      <c r="S840" s="146"/>
      <c r="T840" s="146"/>
      <c r="U840" s="146"/>
      <c r="V840" s="146"/>
      <c r="W840" s="146"/>
      <c r="X840" s="146"/>
      <c r="Y840" s="146"/>
      <c r="Z840" s="146"/>
    </row>
    <row r="841" spans="1:26" ht="15.75" customHeight="1" x14ac:dyDescent="0.25">
      <c r="A841" s="146"/>
      <c r="B841" s="146"/>
      <c r="C841" s="146"/>
      <c r="D841" s="146"/>
      <c r="E841" s="146"/>
      <c r="F841" s="146"/>
      <c r="G841" s="146"/>
      <c r="H841" s="146"/>
      <c r="I841" s="146"/>
      <c r="J841" s="146"/>
      <c r="K841" s="146"/>
      <c r="L841" s="146"/>
      <c r="M841" s="146"/>
      <c r="N841" s="146"/>
      <c r="O841" s="146"/>
      <c r="P841" s="146"/>
      <c r="Q841" s="146"/>
      <c r="R841" s="146"/>
      <c r="S841" s="146"/>
      <c r="T841" s="146"/>
      <c r="U841" s="146"/>
      <c r="V841" s="146"/>
      <c r="W841" s="146"/>
      <c r="X841" s="146"/>
      <c r="Y841" s="146"/>
      <c r="Z841" s="146"/>
    </row>
    <row r="842" spans="1:26" ht="15.75" customHeight="1" x14ac:dyDescent="0.25">
      <c r="A842" s="146"/>
      <c r="B842" s="146"/>
      <c r="C842" s="146"/>
      <c r="D842" s="146"/>
      <c r="E842" s="146"/>
      <c r="F842" s="146"/>
      <c r="G842" s="146"/>
      <c r="H842" s="146"/>
      <c r="I842" s="146"/>
      <c r="J842" s="146"/>
      <c r="K842" s="146"/>
      <c r="L842" s="146"/>
      <c r="M842" s="146"/>
      <c r="N842" s="146"/>
      <c r="O842" s="146"/>
      <c r="P842" s="146"/>
      <c r="Q842" s="146"/>
      <c r="R842" s="146"/>
      <c r="S842" s="146"/>
      <c r="T842" s="146"/>
      <c r="U842" s="146"/>
      <c r="V842" s="146"/>
      <c r="W842" s="146"/>
      <c r="X842" s="146"/>
      <c r="Y842" s="146"/>
      <c r="Z842" s="146"/>
    </row>
    <row r="843" spans="1:26" ht="15.75" customHeight="1" x14ac:dyDescent="0.25">
      <c r="A843" s="146"/>
      <c r="B843" s="146"/>
      <c r="C843" s="146"/>
      <c r="D843" s="146"/>
      <c r="E843" s="146"/>
      <c r="F843" s="146"/>
      <c r="G843" s="146"/>
      <c r="H843" s="146"/>
      <c r="I843" s="146"/>
      <c r="J843" s="146"/>
      <c r="K843" s="146"/>
      <c r="L843" s="146"/>
      <c r="M843" s="146"/>
      <c r="N843" s="146"/>
      <c r="O843" s="146"/>
      <c r="P843" s="146"/>
      <c r="Q843" s="146"/>
      <c r="R843" s="146"/>
      <c r="S843" s="146"/>
      <c r="T843" s="146"/>
      <c r="U843" s="146"/>
      <c r="V843" s="146"/>
      <c r="W843" s="146"/>
      <c r="X843" s="146"/>
      <c r="Y843" s="146"/>
      <c r="Z843" s="146"/>
    </row>
    <row r="844" spans="1:26" ht="15.75" customHeight="1" x14ac:dyDescent="0.25">
      <c r="A844" s="146"/>
      <c r="B844" s="146"/>
      <c r="C844" s="146"/>
      <c r="D844" s="146"/>
      <c r="E844" s="146"/>
      <c r="F844" s="146"/>
      <c r="G844" s="146"/>
      <c r="H844" s="146"/>
      <c r="I844" s="146"/>
      <c r="J844" s="146"/>
      <c r="K844" s="146"/>
      <c r="L844" s="146"/>
      <c r="M844" s="146"/>
      <c r="N844" s="146"/>
      <c r="O844" s="146"/>
      <c r="P844" s="146"/>
      <c r="Q844" s="146"/>
      <c r="R844" s="146"/>
      <c r="S844" s="146"/>
      <c r="T844" s="146"/>
      <c r="U844" s="146"/>
      <c r="V844" s="146"/>
      <c r="W844" s="146"/>
      <c r="X844" s="146"/>
      <c r="Y844" s="146"/>
      <c r="Z844" s="146"/>
    </row>
    <row r="845" spans="1:26" ht="15.75" customHeight="1" x14ac:dyDescent="0.25">
      <c r="A845" s="146"/>
      <c r="B845" s="146"/>
      <c r="C845" s="146"/>
      <c r="D845" s="146"/>
      <c r="E845" s="146"/>
      <c r="F845" s="146"/>
      <c r="G845" s="146"/>
      <c r="H845" s="146"/>
      <c r="I845" s="146"/>
      <c r="J845" s="146"/>
      <c r="K845" s="146"/>
      <c r="L845" s="146"/>
      <c r="M845" s="146"/>
      <c r="N845" s="146"/>
      <c r="O845" s="146"/>
      <c r="P845" s="146"/>
      <c r="Q845" s="146"/>
      <c r="R845" s="146"/>
      <c r="S845" s="146"/>
      <c r="T845" s="146"/>
      <c r="U845" s="146"/>
      <c r="V845" s="146"/>
      <c r="W845" s="146"/>
      <c r="X845" s="146"/>
      <c r="Y845" s="146"/>
      <c r="Z845" s="146"/>
    </row>
    <row r="846" spans="1:26" ht="15.75" customHeight="1" x14ac:dyDescent="0.25">
      <c r="A846" s="146"/>
      <c r="B846" s="146"/>
      <c r="C846" s="146"/>
      <c r="D846" s="146"/>
      <c r="E846" s="146"/>
      <c r="F846" s="146"/>
      <c r="G846" s="146"/>
      <c r="H846" s="146"/>
      <c r="I846" s="146"/>
      <c r="J846" s="146"/>
      <c r="K846" s="146"/>
      <c r="L846" s="146"/>
      <c r="M846" s="146"/>
      <c r="N846" s="146"/>
      <c r="O846" s="146"/>
      <c r="P846" s="146"/>
      <c r="Q846" s="146"/>
      <c r="R846" s="146"/>
      <c r="S846" s="146"/>
      <c r="T846" s="146"/>
      <c r="U846" s="146"/>
      <c r="V846" s="146"/>
      <c r="W846" s="146"/>
      <c r="X846" s="146"/>
      <c r="Y846" s="146"/>
      <c r="Z846" s="146"/>
    </row>
    <row r="847" spans="1:26" ht="15.75" customHeight="1" x14ac:dyDescent="0.25">
      <c r="A847" s="146"/>
      <c r="B847" s="146"/>
      <c r="C847" s="146"/>
      <c r="D847" s="146"/>
      <c r="E847" s="146"/>
      <c r="F847" s="146"/>
      <c r="G847" s="146"/>
      <c r="H847" s="146"/>
      <c r="I847" s="146"/>
      <c r="J847" s="146"/>
      <c r="K847" s="146"/>
      <c r="L847" s="146"/>
      <c r="M847" s="146"/>
      <c r="N847" s="146"/>
      <c r="O847" s="146"/>
      <c r="P847" s="146"/>
      <c r="Q847" s="146"/>
      <c r="R847" s="146"/>
      <c r="S847" s="146"/>
      <c r="T847" s="146"/>
      <c r="U847" s="146"/>
      <c r="V847" s="146"/>
      <c r="W847" s="146"/>
      <c r="X847" s="146"/>
      <c r="Y847" s="146"/>
      <c r="Z847" s="146"/>
    </row>
    <row r="848" spans="1:26" ht="15.75" customHeight="1" x14ac:dyDescent="0.25">
      <c r="A848" s="146"/>
      <c r="B848" s="146"/>
      <c r="C848" s="146"/>
      <c r="D848" s="146"/>
      <c r="E848" s="146"/>
      <c r="F848" s="146"/>
      <c r="G848" s="146"/>
      <c r="H848" s="146"/>
      <c r="I848" s="146"/>
      <c r="J848" s="146"/>
      <c r="K848" s="146"/>
      <c r="L848" s="146"/>
      <c r="M848" s="146"/>
      <c r="N848" s="146"/>
      <c r="O848" s="146"/>
      <c r="P848" s="146"/>
      <c r="Q848" s="146"/>
      <c r="R848" s="146"/>
      <c r="S848" s="146"/>
      <c r="T848" s="146"/>
      <c r="U848" s="146"/>
      <c r="V848" s="146"/>
      <c r="W848" s="146"/>
      <c r="X848" s="146"/>
      <c r="Y848" s="146"/>
      <c r="Z848" s="146"/>
    </row>
    <row r="849" spans="1:26" ht="15.75" customHeight="1" x14ac:dyDescent="0.25">
      <c r="A849" s="146"/>
      <c r="B849" s="146"/>
      <c r="C849" s="146"/>
      <c r="D849" s="146"/>
      <c r="E849" s="146"/>
      <c r="F849" s="146"/>
      <c r="G849" s="146"/>
      <c r="H849" s="146"/>
      <c r="I849" s="146"/>
      <c r="J849" s="146"/>
      <c r="K849" s="146"/>
      <c r="L849" s="146"/>
      <c r="M849" s="146"/>
      <c r="N849" s="146"/>
      <c r="O849" s="146"/>
      <c r="P849" s="146"/>
      <c r="Q849" s="146"/>
      <c r="R849" s="146"/>
      <c r="S849" s="146"/>
      <c r="T849" s="146"/>
      <c r="U849" s="146"/>
      <c r="V849" s="146"/>
      <c r="W849" s="146"/>
      <c r="X849" s="146"/>
      <c r="Y849" s="146"/>
      <c r="Z849" s="146"/>
    </row>
    <row r="850" spans="1:26" ht="15.75" customHeight="1" x14ac:dyDescent="0.25">
      <c r="A850" s="146"/>
      <c r="B850" s="146"/>
      <c r="C850" s="146"/>
      <c r="D850" s="146"/>
      <c r="E850" s="146"/>
      <c r="F850" s="146"/>
      <c r="G850" s="146"/>
      <c r="H850" s="146"/>
      <c r="I850" s="146"/>
      <c r="J850" s="146"/>
      <c r="K850" s="146"/>
      <c r="L850" s="146"/>
      <c r="M850" s="146"/>
      <c r="N850" s="146"/>
      <c r="O850" s="146"/>
      <c r="P850" s="146"/>
      <c r="Q850" s="146"/>
      <c r="R850" s="146"/>
      <c r="S850" s="146"/>
      <c r="T850" s="146"/>
      <c r="U850" s="146"/>
      <c r="V850" s="146"/>
      <c r="W850" s="146"/>
      <c r="X850" s="146"/>
      <c r="Y850" s="146"/>
      <c r="Z850" s="146"/>
    </row>
    <row r="851" spans="1:26" ht="15.75" customHeight="1" x14ac:dyDescent="0.25">
      <c r="A851" s="146"/>
      <c r="B851" s="146"/>
      <c r="C851" s="146"/>
      <c r="D851" s="146"/>
      <c r="E851" s="146"/>
      <c r="F851" s="146"/>
      <c r="G851" s="146"/>
      <c r="H851" s="146"/>
      <c r="I851" s="146"/>
      <c r="J851" s="146"/>
      <c r="K851" s="146"/>
      <c r="L851" s="146"/>
      <c r="M851" s="146"/>
      <c r="N851" s="146"/>
      <c r="O851" s="146"/>
      <c r="P851" s="146"/>
      <c r="Q851" s="146"/>
      <c r="R851" s="146"/>
      <c r="S851" s="146"/>
      <c r="T851" s="146"/>
      <c r="U851" s="146"/>
      <c r="V851" s="146"/>
      <c r="W851" s="146"/>
      <c r="X851" s="146"/>
      <c r="Y851" s="146"/>
      <c r="Z851" s="146"/>
    </row>
    <row r="852" spans="1:26" ht="15.75" customHeight="1" x14ac:dyDescent="0.25">
      <c r="A852" s="146"/>
      <c r="B852" s="146"/>
      <c r="C852" s="146"/>
      <c r="D852" s="146"/>
      <c r="E852" s="146"/>
      <c r="F852" s="146"/>
      <c r="G852" s="146"/>
      <c r="H852" s="146"/>
      <c r="I852" s="146"/>
      <c r="J852" s="146"/>
      <c r="K852" s="146"/>
      <c r="L852" s="146"/>
      <c r="M852" s="146"/>
      <c r="N852" s="146"/>
      <c r="O852" s="146"/>
      <c r="P852" s="146"/>
      <c r="Q852" s="146"/>
      <c r="R852" s="146"/>
      <c r="S852" s="146"/>
      <c r="T852" s="146"/>
      <c r="U852" s="146"/>
      <c r="V852" s="146"/>
      <c r="W852" s="146"/>
      <c r="X852" s="146"/>
      <c r="Y852" s="146"/>
      <c r="Z852" s="146"/>
    </row>
    <row r="853" spans="1:26" ht="15.75" customHeight="1" x14ac:dyDescent="0.25">
      <c r="A853" s="146"/>
      <c r="B853" s="146"/>
      <c r="C853" s="146"/>
      <c r="D853" s="146"/>
      <c r="E853" s="146"/>
      <c r="F853" s="146"/>
      <c r="G853" s="146"/>
      <c r="H853" s="146"/>
      <c r="I853" s="146"/>
      <c r="J853" s="146"/>
      <c r="K853" s="146"/>
      <c r="L853" s="146"/>
      <c r="M853" s="146"/>
      <c r="N853" s="146"/>
      <c r="O853" s="146"/>
      <c r="P853" s="146"/>
      <c r="Q853" s="146"/>
      <c r="R853" s="146"/>
      <c r="S853" s="146"/>
      <c r="T853" s="146"/>
      <c r="U853" s="146"/>
      <c r="V853" s="146"/>
      <c r="W853" s="146"/>
      <c r="X853" s="146"/>
      <c r="Y853" s="146"/>
      <c r="Z853" s="146"/>
    </row>
    <row r="854" spans="1:26" ht="15.75" customHeight="1" x14ac:dyDescent="0.25">
      <c r="A854" s="146"/>
      <c r="B854" s="146"/>
      <c r="C854" s="146"/>
      <c r="D854" s="146"/>
      <c r="E854" s="146"/>
      <c r="F854" s="146"/>
      <c r="G854" s="146"/>
      <c r="H854" s="146"/>
      <c r="I854" s="146"/>
      <c r="J854" s="146"/>
      <c r="K854" s="146"/>
      <c r="L854" s="146"/>
      <c r="M854" s="146"/>
      <c r="N854" s="146"/>
      <c r="O854" s="146"/>
      <c r="P854" s="146"/>
      <c r="Q854" s="146"/>
      <c r="R854" s="146"/>
      <c r="S854" s="146"/>
      <c r="T854" s="146"/>
      <c r="U854" s="146"/>
      <c r="V854" s="146"/>
      <c r="W854" s="146"/>
      <c r="X854" s="146"/>
      <c r="Y854" s="146"/>
      <c r="Z854" s="146"/>
    </row>
    <row r="855" spans="1:26" ht="15.75" customHeight="1" x14ac:dyDescent="0.25">
      <c r="A855" s="146"/>
      <c r="B855" s="146"/>
      <c r="C855" s="146"/>
      <c r="D855" s="146"/>
      <c r="E855" s="146"/>
      <c r="F855" s="146"/>
      <c r="G855" s="146"/>
      <c r="H855" s="146"/>
      <c r="I855" s="146"/>
      <c r="J855" s="146"/>
      <c r="K855" s="146"/>
      <c r="L855" s="146"/>
      <c r="M855" s="146"/>
      <c r="N855" s="146"/>
      <c r="O855" s="146"/>
      <c r="P855" s="146"/>
      <c r="Q855" s="146"/>
      <c r="R855" s="146"/>
      <c r="S855" s="146"/>
      <c r="T855" s="146"/>
      <c r="U855" s="146"/>
      <c r="V855" s="146"/>
      <c r="W855" s="146"/>
      <c r="X855" s="146"/>
      <c r="Y855" s="146"/>
      <c r="Z855" s="146"/>
    </row>
    <row r="856" spans="1:26" ht="15.75" customHeight="1" x14ac:dyDescent="0.25">
      <c r="A856" s="146"/>
      <c r="B856" s="146"/>
      <c r="C856" s="146"/>
      <c r="D856" s="146"/>
      <c r="E856" s="146"/>
      <c r="F856" s="146"/>
      <c r="G856" s="146"/>
      <c r="H856" s="146"/>
      <c r="I856" s="146"/>
      <c r="J856" s="146"/>
      <c r="K856" s="146"/>
      <c r="L856" s="146"/>
      <c r="M856" s="146"/>
      <c r="N856" s="146"/>
      <c r="O856" s="146"/>
      <c r="P856" s="146"/>
      <c r="Q856" s="146"/>
      <c r="R856" s="146"/>
      <c r="S856" s="146"/>
      <c r="T856" s="146"/>
      <c r="U856" s="146"/>
      <c r="V856" s="146"/>
      <c r="W856" s="146"/>
      <c r="X856" s="146"/>
      <c r="Y856" s="146"/>
      <c r="Z856" s="146"/>
    </row>
    <row r="857" spans="1:26" ht="15.75" customHeight="1" x14ac:dyDescent="0.25">
      <c r="A857" s="146"/>
      <c r="B857" s="146"/>
      <c r="C857" s="146"/>
      <c r="D857" s="146"/>
      <c r="E857" s="146"/>
      <c r="F857" s="146"/>
      <c r="G857" s="146"/>
      <c r="H857" s="146"/>
      <c r="I857" s="146"/>
      <c r="J857" s="146"/>
      <c r="K857" s="146"/>
      <c r="L857" s="146"/>
      <c r="M857" s="146"/>
      <c r="N857" s="146"/>
      <c r="O857" s="146"/>
      <c r="P857" s="146"/>
      <c r="Q857" s="146"/>
      <c r="R857" s="146"/>
      <c r="S857" s="146"/>
      <c r="T857" s="146"/>
      <c r="U857" s="146"/>
      <c r="V857" s="146"/>
      <c r="W857" s="146"/>
      <c r="X857" s="146"/>
      <c r="Y857" s="146"/>
      <c r="Z857" s="146"/>
    </row>
    <row r="858" spans="1:26" ht="15.75" customHeight="1" x14ac:dyDescent="0.25">
      <c r="A858" s="146"/>
      <c r="B858" s="146"/>
      <c r="C858" s="146"/>
      <c r="D858" s="146"/>
      <c r="E858" s="146"/>
      <c r="F858" s="146"/>
      <c r="G858" s="146"/>
      <c r="H858" s="146"/>
      <c r="I858" s="146"/>
      <c r="J858" s="146"/>
      <c r="K858" s="146"/>
      <c r="L858" s="146"/>
      <c r="M858" s="146"/>
      <c r="N858" s="146"/>
      <c r="O858" s="146"/>
      <c r="P858" s="146"/>
      <c r="Q858" s="146"/>
      <c r="R858" s="146"/>
      <c r="S858" s="146"/>
      <c r="T858" s="146"/>
      <c r="U858" s="146"/>
      <c r="V858" s="146"/>
      <c r="W858" s="146"/>
      <c r="X858" s="146"/>
      <c r="Y858" s="146"/>
      <c r="Z858" s="146"/>
    </row>
    <row r="859" spans="1:26" ht="15.75" customHeight="1" x14ac:dyDescent="0.25">
      <c r="A859" s="146"/>
      <c r="B859" s="146"/>
      <c r="C859" s="146"/>
      <c r="D859" s="146"/>
      <c r="E859" s="146"/>
      <c r="F859" s="146"/>
      <c r="G859" s="146"/>
      <c r="H859" s="146"/>
      <c r="I859" s="146"/>
      <c r="J859" s="146"/>
      <c r="K859" s="146"/>
      <c r="L859" s="146"/>
      <c r="M859" s="146"/>
      <c r="N859" s="146"/>
      <c r="O859" s="146"/>
      <c r="P859" s="146"/>
      <c r="Q859" s="146"/>
      <c r="R859" s="146"/>
      <c r="S859" s="146"/>
      <c r="T859" s="146"/>
      <c r="U859" s="146"/>
      <c r="V859" s="146"/>
      <c r="W859" s="146"/>
      <c r="X859" s="146"/>
      <c r="Y859" s="146"/>
      <c r="Z859" s="146"/>
    </row>
    <row r="860" spans="1:26" ht="15.75" customHeight="1" x14ac:dyDescent="0.25">
      <c r="A860" s="146"/>
      <c r="B860" s="146"/>
      <c r="C860" s="146"/>
      <c r="D860" s="146"/>
      <c r="E860" s="146"/>
      <c r="F860" s="146"/>
      <c r="G860" s="146"/>
      <c r="H860" s="146"/>
      <c r="I860" s="146"/>
      <c r="J860" s="146"/>
      <c r="K860" s="146"/>
      <c r="L860" s="146"/>
      <c r="M860" s="146"/>
      <c r="N860" s="146"/>
      <c r="O860" s="146"/>
      <c r="P860" s="146"/>
      <c r="Q860" s="146"/>
      <c r="R860" s="146"/>
      <c r="S860" s="146"/>
      <c r="T860" s="146"/>
      <c r="U860" s="146"/>
      <c r="V860" s="146"/>
      <c r="W860" s="146"/>
      <c r="X860" s="146"/>
      <c r="Y860" s="146"/>
      <c r="Z860" s="146"/>
    </row>
    <row r="861" spans="1:26" ht="15.75" customHeight="1" x14ac:dyDescent="0.25">
      <c r="A861" s="146"/>
      <c r="B861" s="146"/>
      <c r="C861" s="146"/>
      <c r="D861" s="146"/>
      <c r="E861" s="146"/>
      <c r="F861" s="146"/>
      <c r="G861" s="146"/>
      <c r="H861" s="146"/>
      <c r="I861" s="146"/>
      <c r="J861" s="146"/>
      <c r="K861" s="146"/>
      <c r="L861" s="146"/>
      <c r="M861" s="146"/>
      <c r="N861" s="146"/>
      <c r="O861" s="146"/>
      <c r="P861" s="146"/>
      <c r="Q861" s="146"/>
      <c r="R861" s="146"/>
      <c r="S861" s="146"/>
      <c r="T861" s="146"/>
      <c r="U861" s="146"/>
      <c r="V861" s="146"/>
      <c r="W861" s="146"/>
      <c r="X861" s="146"/>
      <c r="Y861" s="146"/>
      <c r="Z861" s="146"/>
    </row>
    <row r="862" spans="1:26" ht="15.75" customHeight="1" x14ac:dyDescent="0.25">
      <c r="A862" s="146"/>
      <c r="B862" s="146"/>
      <c r="C862" s="146"/>
      <c r="D862" s="146"/>
      <c r="E862" s="146"/>
      <c r="F862" s="146"/>
      <c r="G862" s="146"/>
      <c r="H862" s="146"/>
      <c r="I862" s="146"/>
      <c r="J862" s="146"/>
      <c r="K862" s="146"/>
      <c r="L862" s="146"/>
      <c r="M862" s="146"/>
      <c r="N862" s="146"/>
      <c r="O862" s="146"/>
      <c r="P862" s="146"/>
      <c r="Q862" s="146"/>
      <c r="R862" s="146"/>
      <c r="S862" s="146"/>
      <c r="T862" s="146"/>
      <c r="U862" s="146"/>
      <c r="V862" s="146"/>
      <c r="W862" s="146"/>
      <c r="X862" s="146"/>
      <c r="Y862" s="146"/>
      <c r="Z862" s="146"/>
    </row>
    <row r="863" spans="1:26" ht="15.75" customHeight="1" x14ac:dyDescent="0.25">
      <c r="A863" s="146"/>
      <c r="B863" s="146"/>
      <c r="C863" s="146"/>
      <c r="D863" s="146"/>
      <c r="E863" s="146"/>
      <c r="F863" s="146"/>
      <c r="G863" s="146"/>
      <c r="H863" s="146"/>
      <c r="I863" s="146"/>
      <c r="J863" s="146"/>
      <c r="K863" s="146"/>
      <c r="L863" s="146"/>
      <c r="M863" s="146"/>
      <c r="N863" s="146"/>
      <c r="O863" s="146"/>
      <c r="P863" s="146"/>
      <c r="Q863" s="146"/>
      <c r="R863" s="146"/>
      <c r="S863" s="146"/>
      <c r="T863" s="146"/>
      <c r="U863" s="146"/>
      <c r="V863" s="146"/>
      <c r="W863" s="146"/>
      <c r="X863" s="146"/>
      <c r="Y863" s="146"/>
      <c r="Z863" s="146"/>
    </row>
    <row r="864" spans="1:26" ht="15.75" customHeight="1" x14ac:dyDescent="0.25">
      <c r="A864" s="146"/>
      <c r="B864" s="146"/>
      <c r="C864" s="146"/>
      <c r="D864" s="146"/>
      <c r="E864" s="146"/>
      <c r="F864" s="146"/>
      <c r="G864" s="146"/>
      <c r="H864" s="146"/>
      <c r="I864" s="146"/>
      <c r="J864" s="146"/>
      <c r="K864" s="146"/>
      <c r="L864" s="146"/>
      <c r="M864" s="146"/>
      <c r="N864" s="146"/>
      <c r="O864" s="146"/>
      <c r="P864" s="146"/>
      <c r="Q864" s="146"/>
      <c r="R864" s="146"/>
      <c r="S864" s="146"/>
      <c r="T864" s="146"/>
      <c r="U864" s="146"/>
      <c r="V864" s="146"/>
      <c r="W864" s="146"/>
      <c r="X864" s="146"/>
      <c r="Y864" s="146"/>
      <c r="Z864" s="146"/>
    </row>
    <row r="865" spans="1:26" ht="15.75" customHeight="1" x14ac:dyDescent="0.25">
      <c r="A865" s="146"/>
      <c r="B865" s="146"/>
      <c r="C865" s="146"/>
      <c r="D865" s="146"/>
      <c r="E865" s="146"/>
      <c r="F865" s="146"/>
      <c r="G865" s="146"/>
      <c r="H865" s="146"/>
      <c r="I865" s="146"/>
      <c r="J865" s="146"/>
      <c r="K865" s="146"/>
      <c r="L865" s="146"/>
      <c r="M865" s="146"/>
      <c r="N865" s="146"/>
      <c r="O865" s="146"/>
      <c r="P865" s="146"/>
      <c r="Q865" s="146"/>
      <c r="R865" s="146"/>
      <c r="S865" s="146"/>
      <c r="T865" s="146"/>
      <c r="U865" s="146"/>
      <c r="V865" s="146"/>
      <c r="W865" s="146"/>
      <c r="X865" s="146"/>
      <c r="Y865" s="146"/>
      <c r="Z865" s="146"/>
    </row>
    <row r="866" spans="1:26" ht="15.75" customHeight="1" x14ac:dyDescent="0.25">
      <c r="A866" s="146"/>
      <c r="B866" s="146"/>
      <c r="C866" s="146"/>
      <c r="D866" s="146"/>
      <c r="E866" s="146"/>
      <c r="F866" s="146"/>
      <c r="G866" s="146"/>
      <c r="H866" s="146"/>
      <c r="I866" s="146"/>
      <c r="J866" s="146"/>
      <c r="K866" s="146"/>
      <c r="L866" s="146"/>
      <c r="M866" s="146"/>
      <c r="N866" s="146"/>
      <c r="O866" s="146"/>
      <c r="P866" s="146"/>
      <c r="Q866" s="146"/>
      <c r="R866" s="146"/>
      <c r="S866" s="146"/>
      <c r="T866" s="146"/>
      <c r="U866" s="146"/>
      <c r="V866" s="146"/>
      <c r="W866" s="146"/>
      <c r="X866" s="146"/>
      <c r="Y866" s="146"/>
      <c r="Z866" s="146"/>
    </row>
    <row r="867" spans="1:26" ht="15.75" customHeight="1" x14ac:dyDescent="0.25">
      <c r="A867" s="146"/>
      <c r="B867" s="146"/>
      <c r="C867" s="146"/>
      <c r="D867" s="146"/>
      <c r="E867" s="146"/>
      <c r="F867" s="146"/>
      <c r="G867" s="146"/>
      <c r="H867" s="146"/>
      <c r="I867" s="146"/>
      <c r="J867" s="146"/>
      <c r="K867" s="146"/>
      <c r="L867" s="146"/>
      <c r="M867" s="146"/>
      <c r="N867" s="146"/>
      <c r="O867" s="146"/>
      <c r="P867" s="146"/>
      <c r="Q867" s="146"/>
      <c r="R867" s="146"/>
      <c r="S867" s="146"/>
      <c r="T867" s="146"/>
      <c r="U867" s="146"/>
      <c r="V867" s="146"/>
      <c r="W867" s="146"/>
      <c r="X867" s="146"/>
      <c r="Y867" s="146"/>
      <c r="Z867" s="146"/>
    </row>
    <row r="868" spans="1:26" ht="15.75" customHeight="1" x14ac:dyDescent="0.25">
      <c r="A868" s="146"/>
      <c r="B868" s="146"/>
      <c r="C868" s="146"/>
      <c r="D868" s="146"/>
      <c r="E868" s="146"/>
      <c r="F868" s="146"/>
      <c r="G868" s="146"/>
      <c r="H868" s="146"/>
      <c r="I868" s="146"/>
      <c r="J868" s="146"/>
      <c r="K868" s="146"/>
      <c r="L868" s="146"/>
      <c r="M868" s="146"/>
      <c r="N868" s="146"/>
      <c r="O868" s="146"/>
      <c r="P868" s="146"/>
      <c r="Q868" s="146"/>
      <c r="R868" s="146"/>
      <c r="S868" s="146"/>
      <c r="T868" s="146"/>
      <c r="U868" s="146"/>
      <c r="V868" s="146"/>
      <c r="W868" s="146"/>
      <c r="X868" s="146"/>
      <c r="Y868" s="146"/>
      <c r="Z868" s="146"/>
    </row>
    <row r="869" spans="1:26" ht="15.75" customHeight="1" x14ac:dyDescent="0.25">
      <c r="A869" s="146"/>
      <c r="B869" s="146"/>
      <c r="C869" s="146"/>
      <c r="D869" s="146"/>
      <c r="E869" s="146"/>
      <c r="F869" s="146"/>
      <c r="G869" s="146"/>
      <c r="H869" s="146"/>
      <c r="I869" s="146"/>
      <c r="J869" s="146"/>
      <c r="K869" s="146"/>
      <c r="L869" s="146"/>
      <c r="M869" s="146"/>
      <c r="N869" s="146"/>
      <c r="O869" s="146"/>
      <c r="P869" s="146"/>
      <c r="Q869" s="146"/>
      <c r="R869" s="146"/>
      <c r="S869" s="146"/>
      <c r="T869" s="146"/>
      <c r="U869" s="146"/>
      <c r="V869" s="146"/>
      <c r="W869" s="146"/>
      <c r="X869" s="146"/>
      <c r="Y869" s="146"/>
      <c r="Z869" s="146"/>
    </row>
    <row r="870" spans="1:26" ht="15.75" customHeight="1" x14ac:dyDescent="0.25">
      <c r="A870" s="146"/>
      <c r="B870" s="146"/>
      <c r="C870" s="146"/>
      <c r="D870" s="146"/>
      <c r="E870" s="146"/>
      <c r="F870" s="146"/>
      <c r="G870" s="146"/>
      <c r="H870" s="146"/>
      <c r="I870" s="146"/>
      <c r="J870" s="146"/>
      <c r="K870" s="146"/>
      <c r="L870" s="146"/>
      <c r="M870" s="146"/>
      <c r="N870" s="146"/>
      <c r="O870" s="146"/>
      <c r="P870" s="146"/>
      <c r="Q870" s="146"/>
      <c r="R870" s="146"/>
      <c r="S870" s="146"/>
      <c r="T870" s="146"/>
      <c r="U870" s="146"/>
      <c r="V870" s="146"/>
      <c r="W870" s="146"/>
      <c r="X870" s="146"/>
      <c r="Y870" s="146"/>
      <c r="Z870" s="146"/>
    </row>
    <row r="871" spans="1:26" ht="15.75" customHeight="1" x14ac:dyDescent="0.25">
      <c r="A871" s="146"/>
      <c r="B871" s="146"/>
      <c r="C871" s="146"/>
      <c r="D871" s="146"/>
      <c r="E871" s="146"/>
      <c r="F871" s="146"/>
      <c r="G871" s="146"/>
      <c r="H871" s="146"/>
      <c r="I871" s="146"/>
      <c r="J871" s="146"/>
      <c r="K871" s="146"/>
      <c r="L871" s="146"/>
      <c r="M871" s="146"/>
      <c r="N871" s="146"/>
      <c r="O871" s="146"/>
      <c r="P871" s="146"/>
      <c r="Q871" s="146"/>
      <c r="R871" s="146"/>
      <c r="S871" s="146"/>
      <c r="T871" s="146"/>
      <c r="U871" s="146"/>
      <c r="V871" s="146"/>
      <c r="W871" s="146"/>
      <c r="X871" s="146"/>
      <c r="Y871" s="146"/>
      <c r="Z871" s="146"/>
    </row>
    <row r="872" spans="1:26" ht="15.75" customHeight="1" x14ac:dyDescent="0.25">
      <c r="A872" s="146"/>
      <c r="B872" s="146"/>
      <c r="C872" s="146"/>
      <c r="D872" s="146"/>
      <c r="E872" s="146"/>
      <c r="F872" s="146"/>
      <c r="G872" s="146"/>
      <c r="H872" s="146"/>
      <c r="I872" s="146"/>
      <c r="J872" s="146"/>
      <c r="K872" s="146"/>
      <c r="L872" s="146"/>
      <c r="M872" s="146"/>
      <c r="N872" s="146"/>
      <c r="O872" s="146"/>
      <c r="P872" s="146"/>
      <c r="Q872" s="146"/>
      <c r="R872" s="146"/>
      <c r="S872" s="146"/>
      <c r="T872" s="146"/>
      <c r="U872" s="146"/>
      <c r="V872" s="146"/>
      <c r="W872" s="146"/>
      <c r="X872" s="146"/>
      <c r="Y872" s="146"/>
      <c r="Z872" s="146"/>
    </row>
    <row r="873" spans="1:26" ht="15.75" customHeight="1" x14ac:dyDescent="0.25">
      <c r="A873" s="146"/>
      <c r="B873" s="146"/>
      <c r="C873" s="146"/>
      <c r="D873" s="146"/>
      <c r="E873" s="146"/>
      <c r="F873" s="146"/>
      <c r="G873" s="146"/>
      <c r="H873" s="146"/>
      <c r="I873" s="146"/>
      <c r="J873" s="146"/>
      <c r="K873" s="146"/>
      <c r="L873" s="146"/>
      <c r="M873" s="146"/>
      <c r="N873" s="146"/>
      <c r="O873" s="146"/>
      <c r="P873" s="146"/>
      <c r="Q873" s="146"/>
      <c r="R873" s="146"/>
      <c r="S873" s="146"/>
      <c r="T873" s="146"/>
      <c r="U873" s="146"/>
      <c r="V873" s="146"/>
      <c r="W873" s="146"/>
      <c r="X873" s="146"/>
      <c r="Y873" s="146"/>
      <c r="Z873" s="146"/>
    </row>
    <row r="874" spans="1:26" ht="15.75" customHeight="1" x14ac:dyDescent="0.25">
      <c r="A874" s="146"/>
      <c r="B874" s="146"/>
      <c r="C874" s="146"/>
      <c r="D874" s="146"/>
      <c r="E874" s="146"/>
      <c r="F874" s="146"/>
      <c r="G874" s="146"/>
      <c r="H874" s="146"/>
      <c r="I874" s="146"/>
      <c r="J874" s="146"/>
      <c r="K874" s="146"/>
      <c r="L874" s="146"/>
      <c r="M874" s="146"/>
      <c r="N874" s="146"/>
      <c r="O874" s="146"/>
      <c r="P874" s="146"/>
      <c r="Q874" s="146"/>
      <c r="R874" s="146"/>
      <c r="S874" s="146"/>
      <c r="T874" s="146"/>
      <c r="U874" s="146"/>
      <c r="V874" s="146"/>
      <c r="W874" s="146"/>
      <c r="X874" s="146"/>
      <c r="Y874" s="146"/>
      <c r="Z874" s="146"/>
    </row>
    <row r="875" spans="1:26" ht="15.75" customHeight="1" x14ac:dyDescent="0.25">
      <c r="A875" s="146"/>
      <c r="B875" s="146"/>
      <c r="C875" s="146"/>
      <c r="D875" s="146"/>
      <c r="E875" s="146"/>
      <c r="F875" s="146"/>
      <c r="G875" s="146"/>
      <c r="H875" s="146"/>
      <c r="I875" s="146"/>
      <c r="J875" s="146"/>
      <c r="K875" s="146"/>
      <c r="L875" s="146"/>
      <c r="M875" s="146"/>
      <c r="N875" s="146"/>
      <c r="O875" s="146"/>
      <c r="P875" s="146"/>
      <c r="Q875" s="146"/>
      <c r="R875" s="146"/>
      <c r="S875" s="146"/>
      <c r="T875" s="146"/>
      <c r="U875" s="146"/>
      <c r="V875" s="146"/>
      <c r="W875" s="146"/>
      <c r="X875" s="146"/>
      <c r="Y875" s="146"/>
      <c r="Z875" s="146"/>
    </row>
    <row r="876" spans="1:26" ht="15.75" customHeight="1" x14ac:dyDescent="0.25">
      <c r="A876" s="146"/>
      <c r="B876" s="146"/>
      <c r="C876" s="146"/>
      <c r="D876" s="146"/>
      <c r="E876" s="146"/>
      <c r="F876" s="146"/>
      <c r="G876" s="146"/>
      <c r="H876" s="146"/>
      <c r="I876" s="146"/>
      <c r="J876" s="146"/>
      <c r="K876" s="146"/>
      <c r="L876" s="146"/>
      <c r="M876" s="146"/>
      <c r="N876" s="146"/>
      <c r="O876" s="146"/>
      <c r="P876" s="146"/>
      <c r="Q876" s="146"/>
      <c r="R876" s="146"/>
      <c r="S876" s="146"/>
      <c r="T876" s="146"/>
      <c r="U876" s="146"/>
      <c r="V876" s="146"/>
      <c r="W876" s="146"/>
      <c r="X876" s="146"/>
      <c r="Y876" s="146"/>
      <c r="Z876" s="146"/>
    </row>
    <row r="877" spans="1:26" ht="15.75" customHeight="1" x14ac:dyDescent="0.25">
      <c r="A877" s="146"/>
      <c r="B877" s="146"/>
      <c r="C877" s="146"/>
      <c r="D877" s="146"/>
      <c r="E877" s="146"/>
      <c r="F877" s="146"/>
      <c r="G877" s="146"/>
      <c r="H877" s="146"/>
      <c r="I877" s="146"/>
      <c r="J877" s="146"/>
      <c r="K877" s="146"/>
      <c r="L877" s="146"/>
      <c r="M877" s="146"/>
      <c r="N877" s="146"/>
      <c r="O877" s="146"/>
      <c r="P877" s="146"/>
      <c r="Q877" s="146"/>
      <c r="R877" s="146"/>
      <c r="S877" s="146"/>
      <c r="T877" s="146"/>
      <c r="U877" s="146"/>
      <c r="V877" s="146"/>
      <c r="W877" s="146"/>
      <c r="X877" s="146"/>
      <c r="Y877" s="146"/>
      <c r="Z877" s="146"/>
    </row>
    <row r="878" spans="1:26" ht="15.75" customHeight="1" x14ac:dyDescent="0.25">
      <c r="A878" s="146"/>
      <c r="B878" s="146"/>
      <c r="C878" s="146"/>
      <c r="D878" s="146"/>
      <c r="E878" s="146"/>
      <c r="F878" s="146"/>
      <c r="G878" s="146"/>
      <c r="H878" s="146"/>
      <c r="I878" s="146"/>
      <c r="J878" s="146"/>
      <c r="K878" s="146"/>
      <c r="L878" s="146"/>
      <c r="M878" s="146"/>
      <c r="N878" s="146"/>
      <c r="O878" s="146"/>
      <c r="P878" s="146"/>
      <c r="Q878" s="146"/>
      <c r="R878" s="146"/>
      <c r="S878" s="146"/>
      <c r="T878" s="146"/>
      <c r="U878" s="146"/>
      <c r="V878" s="146"/>
      <c r="W878" s="146"/>
      <c r="X878" s="146"/>
      <c r="Y878" s="146"/>
      <c r="Z878" s="146"/>
    </row>
    <row r="879" spans="1:26" ht="15.75" customHeight="1" x14ac:dyDescent="0.25">
      <c r="A879" s="146"/>
      <c r="B879" s="146"/>
      <c r="C879" s="146"/>
      <c r="D879" s="146"/>
      <c r="E879" s="146"/>
      <c r="F879" s="146"/>
      <c r="G879" s="146"/>
      <c r="H879" s="146"/>
      <c r="I879" s="146"/>
      <c r="J879" s="146"/>
      <c r="K879" s="146"/>
      <c r="L879" s="146"/>
      <c r="M879" s="146"/>
      <c r="N879" s="146"/>
      <c r="O879" s="146"/>
      <c r="P879" s="146"/>
      <c r="Q879" s="146"/>
      <c r="R879" s="146"/>
      <c r="S879" s="146"/>
      <c r="T879" s="146"/>
      <c r="U879" s="146"/>
      <c r="V879" s="146"/>
      <c r="W879" s="146"/>
      <c r="X879" s="146"/>
      <c r="Y879" s="146"/>
      <c r="Z879" s="146"/>
    </row>
    <row r="880" spans="1:26" ht="15.75" customHeight="1" x14ac:dyDescent="0.25">
      <c r="A880" s="146"/>
      <c r="B880" s="146"/>
      <c r="C880" s="146"/>
      <c r="D880" s="146"/>
      <c r="E880" s="146"/>
      <c r="F880" s="146"/>
      <c r="G880" s="146"/>
      <c r="H880" s="146"/>
      <c r="I880" s="146"/>
      <c r="J880" s="146"/>
      <c r="K880" s="146"/>
      <c r="L880" s="146"/>
      <c r="M880" s="146"/>
      <c r="N880" s="146"/>
      <c r="O880" s="146"/>
      <c r="P880" s="146"/>
      <c r="Q880" s="146"/>
      <c r="R880" s="146"/>
      <c r="S880" s="146"/>
      <c r="T880" s="146"/>
      <c r="U880" s="146"/>
      <c r="V880" s="146"/>
      <c r="W880" s="146"/>
      <c r="X880" s="146"/>
      <c r="Y880" s="146"/>
      <c r="Z880" s="146"/>
    </row>
    <row r="881" spans="1:26" ht="15.75" customHeight="1" x14ac:dyDescent="0.25">
      <c r="A881" s="146"/>
      <c r="B881" s="146"/>
      <c r="C881" s="146"/>
      <c r="D881" s="146"/>
      <c r="E881" s="146"/>
      <c r="F881" s="146"/>
      <c r="G881" s="146"/>
      <c r="H881" s="146"/>
      <c r="I881" s="146"/>
      <c r="J881" s="146"/>
      <c r="K881" s="146"/>
      <c r="L881" s="146"/>
      <c r="M881" s="146"/>
      <c r="N881" s="146"/>
      <c r="O881" s="146"/>
      <c r="P881" s="146"/>
      <c r="Q881" s="146"/>
      <c r="R881" s="146"/>
      <c r="S881" s="146"/>
      <c r="T881" s="146"/>
      <c r="U881" s="146"/>
      <c r="V881" s="146"/>
      <c r="W881" s="146"/>
      <c r="X881" s="146"/>
      <c r="Y881" s="146"/>
      <c r="Z881" s="146"/>
    </row>
    <row r="882" spans="1:26" ht="15.75" customHeight="1" x14ac:dyDescent="0.25">
      <c r="A882" s="146"/>
      <c r="B882" s="146"/>
      <c r="C882" s="146"/>
      <c r="D882" s="146"/>
      <c r="E882" s="146"/>
      <c r="F882" s="146"/>
      <c r="G882" s="146"/>
      <c r="H882" s="146"/>
      <c r="I882" s="146"/>
      <c r="J882" s="146"/>
      <c r="K882" s="146"/>
      <c r="L882" s="146"/>
      <c r="M882" s="146"/>
      <c r="N882" s="146"/>
      <c r="O882" s="146"/>
      <c r="P882" s="146"/>
      <c r="Q882" s="146"/>
      <c r="R882" s="146"/>
      <c r="S882" s="146"/>
      <c r="T882" s="146"/>
      <c r="U882" s="146"/>
      <c r="V882" s="146"/>
      <c r="W882" s="146"/>
      <c r="X882" s="146"/>
      <c r="Y882" s="146"/>
      <c r="Z882" s="146"/>
    </row>
    <row r="883" spans="1:26" ht="15.75" customHeight="1" x14ac:dyDescent="0.25">
      <c r="A883" s="146"/>
      <c r="B883" s="146"/>
      <c r="C883" s="146"/>
      <c r="D883" s="146"/>
      <c r="E883" s="146"/>
      <c r="F883" s="146"/>
      <c r="G883" s="146"/>
      <c r="H883" s="146"/>
      <c r="I883" s="146"/>
      <c r="J883" s="146"/>
      <c r="K883" s="146"/>
      <c r="L883" s="146"/>
      <c r="M883" s="146"/>
      <c r="N883" s="146"/>
      <c r="O883" s="146"/>
      <c r="P883" s="146"/>
      <c r="Q883" s="146"/>
      <c r="R883" s="146"/>
      <c r="S883" s="146"/>
      <c r="T883" s="146"/>
      <c r="U883" s="146"/>
      <c r="V883" s="146"/>
      <c r="W883" s="146"/>
      <c r="X883" s="146"/>
      <c r="Y883" s="146"/>
      <c r="Z883" s="146"/>
    </row>
    <row r="884" spans="1:26" ht="15.75" customHeight="1" x14ac:dyDescent="0.25">
      <c r="A884" s="146"/>
      <c r="B884" s="146"/>
      <c r="C884" s="146"/>
      <c r="D884" s="146"/>
      <c r="E884" s="146"/>
      <c r="F884" s="146"/>
      <c r="G884" s="146"/>
      <c r="H884" s="146"/>
      <c r="I884" s="146"/>
      <c r="J884" s="146"/>
      <c r="K884" s="146"/>
      <c r="L884" s="146"/>
      <c r="M884" s="146"/>
      <c r="N884" s="146"/>
      <c r="O884" s="146"/>
      <c r="P884" s="146"/>
      <c r="Q884" s="146"/>
      <c r="R884" s="146"/>
      <c r="S884" s="146"/>
      <c r="T884" s="146"/>
      <c r="U884" s="146"/>
      <c r="V884" s="146"/>
      <c r="W884" s="146"/>
      <c r="X884" s="146"/>
      <c r="Y884" s="146"/>
      <c r="Z884" s="146"/>
    </row>
    <row r="885" spans="1:26" ht="15.75" customHeight="1" x14ac:dyDescent="0.25">
      <c r="A885" s="146"/>
      <c r="B885" s="146"/>
      <c r="C885" s="146"/>
      <c r="D885" s="146"/>
      <c r="E885" s="146"/>
      <c r="F885" s="146"/>
      <c r="G885" s="146"/>
      <c r="H885" s="146"/>
      <c r="I885" s="146"/>
      <c r="J885" s="146"/>
      <c r="K885" s="146"/>
      <c r="L885" s="146"/>
      <c r="M885" s="146"/>
      <c r="N885" s="146"/>
      <c r="O885" s="146"/>
      <c r="P885" s="146"/>
      <c r="Q885" s="146"/>
      <c r="R885" s="146"/>
      <c r="S885" s="146"/>
      <c r="T885" s="146"/>
      <c r="U885" s="146"/>
      <c r="V885" s="146"/>
      <c r="W885" s="146"/>
      <c r="X885" s="146"/>
      <c r="Y885" s="146"/>
      <c r="Z885" s="146"/>
    </row>
    <row r="886" spans="1:26" ht="15.75" customHeight="1" x14ac:dyDescent="0.25">
      <c r="A886" s="146"/>
      <c r="B886" s="146"/>
      <c r="C886" s="146"/>
      <c r="D886" s="146"/>
      <c r="E886" s="146"/>
      <c r="F886" s="146"/>
      <c r="G886" s="146"/>
      <c r="H886" s="146"/>
      <c r="I886" s="146"/>
      <c r="J886" s="146"/>
      <c r="K886" s="146"/>
      <c r="L886" s="146"/>
      <c r="M886" s="146"/>
      <c r="N886" s="146"/>
      <c r="O886" s="146"/>
      <c r="P886" s="146"/>
      <c r="Q886" s="146"/>
      <c r="R886" s="146"/>
      <c r="S886" s="146"/>
      <c r="T886" s="146"/>
      <c r="U886" s="146"/>
      <c r="V886" s="146"/>
      <c r="W886" s="146"/>
      <c r="X886" s="146"/>
      <c r="Y886" s="146"/>
      <c r="Z886" s="146"/>
    </row>
    <row r="887" spans="1:26" ht="15.75" customHeight="1" x14ac:dyDescent="0.25">
      <c r="A887" s="146"/>
      <c r="B887" s="146"/>
      <c r="C887" s="146"/>
      <c r="D887" s="146"/>
      <c r="E887" s="146"/>
      <c r="F887" s="146"/>
      <c r="G887" s="146"/>
      <c r="H887" s="146"/>
      <c r="I887" s="146"/>
      <c r="J887" s="146"/>
      <c r="K887" s="146"/>
      <c r="L887" s="146"/>
      <c r="M887" s="146"/>
      <c r="N887" s="146"/>
      <c r="O887" s="146"/>
      <c r="P887" s="146"/>
      <c r="Q887" s="146"/>
      <c r="R887" s="146"/>
      <c r="S887" s="146"/>
      <c r="T887" s="146"/>
      <c r="U887" s="146"/>
      <c r="V887" s="146"/>
      <c r="W887" s="146"/>
      <c r="X887" s="146"/>
      <c r="Y887" s="146"/>
      <c r="Z887" s="146"/>
    </row>
    <row r="888" spans="1:26" ht="15.75" customHeight="1" x14ac:dyDescent="0.25">
      <c r="A888" s="146"/>
      <c r="B888" s="146"/>
      <c r="C888" s="146"/>
      <c r="D888" s="146"/>
      <c r="E888" s="146"/>
      <c r="F888" s="146"/>
      <c r="G888" s="146"/>
      <c r="H888" s="146"/>
      <c r="I888" s="146"/>
      <c r="J888" s="146"/>
      <c r="K888" s="146"/>
      <c r="L888" s="146"/>
      <c r="M888" s="146"/>
      <c r="N888" s="146"/>
      <c r="O888" s="146"/>
      <c r="P888" s="146"/>
      <c r="Q888" s="146"/>
      <c r="R888" s="146"/>
      <c r="S888" s="146"/>
      <c r="T888" s="146"/>
      <c r="U888" s="146"/>
      <c r="V888" s="146"/>
      <c r="W888" s="146"/>
      <c r="X888" s="146"/>
      <c r="Y888" s="146"/>
      <c r="Z888" s="146"/>
    </row>
    <row r="889" spans="1:26" ht="15.75" customHeight="1" x14ac:dyDescent="0.25">
      <c r="A889" s="146"/>
      <c r="B889" s="146"/>
      <c r="C889" s="146"/>
      <c r="D889" s="146"/>
      <c r="E889" s="146"/>
      <c r="F889" s="146"/>
      <c r="G889" s="146"/>
      <c r="H889" s="146"/>
      <c r="I889" s="146"/>
      <c r="J889" s="146"/>
      <c r="K889" s="146"/>
      <c r="L889" s="146"/>
      <c r="M889" s="146"/>
      <c r="N889" s="146"/>
      <c r="O889" s="146"/>
      <c r="P889" s="146"/>
      <c r="Q889" s="146"/>
      <c r="R889" s="146"/>
      <c r="S889" s="146"/>
      <c r="T889" s="146"/>
      <c r="U889" s="146"/>
      <c r="V889" s="146"/>
      <c r="W889" s="146"/>
      <c r="X889" s="146"/>
      <c r="Y889" s="146"/>
      <c r="Z889" s="146"/>
    </row>
    <row r="890" spans="1:26" ht="15.75" customHeight="1" x14ac:dyDescent="0.25">
      <c r="A890" s="146"/>
      <c r="B890" s="146"/>
      <c r="C890" s="146"/>
      <c r="D890" s="146"/>
      <c r="E890" s="146"/>
      <c r="F890" s="146"/>
      <c r="G890" s="146"/>
      <c r="H890" s="146"/>
      <c r="I890" s="146"/>
      <c r="J890" s="146"/>
      <c r="K890" s="146"/>
      <c r="L890" s="146"/>
      <c r="M890" s="146"/>
      <c r="N890" s="146"/>
      <c r="O890" s="146"/>
      <c r="P890" s="146"/>
      <c r="Q890" s="146"/>
      <c r="R890" s="146"/>
      <c r="S890" s="146"/>
      <c r="T890" s="146"/>
      <c r="U890" s="146"/>
      <c r="V890" s="146"/>
      <c r="W890" s="146"/>
      <c r="X890" s="146"/>
      <c r="Y890" s="146"/>
      <c r="Z890" s="146"/>
    </row>
    <row r="891" spans="1:26" ht="15.75" customHeight="1" x14ac:dyDescent="0.25">
      <c r="A891" s="146"/>
      <c r="B891" s="146"/>
      <c r="C891" s="146"/>
      <c r="D891" s="146"/>
      <c r="E891" s="146"/>
      <c r="F891" s="146"/>
      <c r="G891" s="146"/>
      <c r="H891" s="146"/>
      <c r="I891" s="146"/>
      <c r="J891" s="146"/>
      <c r="K891" s="146"/>
      <c r="L891" s="146"/>
      <c r="M891" s="146"/>
      <c r="N891" s="146"/>
      <c r="O891" s="146"/>
      <c r="P891" s="146"/>
      <c r="Q891" s="146"/>
      <c r="R891" s="146"/>
      <c r="S891" s="146"/>
      <c r="T891" s="146"/>
      <c r="U891" s="146"/>
      <c r="V891" s="146"/>
      <c r="W891" s="146"/>
      <c r="X891" s="146"/>
      <c r="Y891" s="146"/>
      <c r="Z891" s="146"/>
    </row>
    <row r="892" spans="1:26" ht="15.75" customHeight="1" x14ac:dyDescent="0.25">
      <c r="A892" s="146"/>
      <c r="B892" s="146"/>
      <c r="C892" s="146"/>
      <c r="D892" s="146"/>
      <c r="E892" s="146"/>
      <c r="F892" s="146"/>
      <c r="G892" s="146"/>
      <c r="H892" s="146"/>
      <c r="I892" s="146"/>
      <c r="J892" s="146"/>
      <c r="K892" s="146"/>
      <c r="L892" s="146"/>
      <c r="M892" s="146"/>
      <c r="N892" s="146"/>
      <c r="O892" s="146"/>
      <c r="P892" s="146"/>
      <c r="Q892" s="146"/>
      <c r="R892" s="146"/>
      <c r="S892" s="146"/>
      <c r="T892" s="146"/>
      <c r="U892" s="146"/>
      <c r="V892" s="146"/>
      <c r="W892" s="146"/>
      <c r="X892" s="146"/>
      <c r="Y892" s="146"/>
      <c r="Z892" s="146"/>
    </row>
    <row r="893" spans="1:26" ht="15.75" customHeight="1" x14ac:dyDescent="0.25">
      <c r="A893" s="146"/>
      <c r="B893" s="146"/>
      <c r="C893" s="146"/>
      <c r="D893" s="146"/>
      <c r="E893" s="146"/>
      <c r="F893" s="146"/>
      <c r="G893" s="146"/>
      <c r="H893" s="146"/>
      <c r="I893" s="146"/>
      <c r="J893" s="146"/>
      <c r="K893" s="146"/>
      <c r="L893" s="146"/>
      <c r="M893" s="146"/>
      <c r="N893" s="146"/>
      <c r="O893" s="146"/>
      <c r="P893" s="146"/>
      <c r="Q893" s="146"/>
      <c r="R893" s="146"/>
      <c r="S893" s="146"/>
      <c r="T893" s="146"/>
      <c r="U893" s="146"/>
      <c r="V893" s="146"/>
      <c r="W893" s="146"/>
      <c r="X893" s="146"/>
      <c r="Y893" s="146"/>
      <c r="Z893" s="146"/>
    </row>
    <row r="894" spans="1:26" ht="15.75" customHeight="1" x14ac:dyDescent="0.25">
      <c r="A894" s="146"/>
      <c r="B894" s="146"/>
      <c r="C894" s="146"/>
      <c r="D894" s="146"/>
      <c r="E894" s="146"/>
      <c r="F894" s="146"/>
      <c r="G894" s="146"/>
      <c r="H894" s="146"/>
      <c r="I894" s="146"/>
      <c r="J894" s="146"/>
      <c r="K894" s="146"/>
      <c r="L894" s="146"/>
      <c r="M894" s="146"/>
      <c r="N894" s="146"/>
      <c r="O894" s="146"/>
      <c r="P894" s="146"/>
      <c r="Q894" s="146"/>
      <c r="R894" s="146"/>
      <c r="S894" s="146"/>
      <c r="T894" s="146"/>
      <c r="U894" s="146"/>
      <c r="V894" s="146"/>
      <c r="W894" s="146"/>
      <c r="X894" s="146"/>
      <c r="Y894" s="146"/>
      <c r="Z894" s="146"/>
    </row>
    <row r="895" spans="1:26" ht="15.75" customHeight="1" x14ac:dyDescent="0.25">
      <c r="A895" s="146"/>
      <c r="B895" s="146"/>
      <c r="C895" s="146"/>
      <c r="D895" s="146"/>
      <c r="E895" s="146"/>
      <c r="F895" s="146"/>
      <c r="G895" s="146"/>
      <c r="H895" s="146"/>
      <c r="I895" s="146"/>
      <c r="J895" s="146"/>
      <c r="K895" s="146"/>
      <c r="L895" s="146"/>
      <c r="M895" s="146"/>
      <c r="N895" s="146"/>
      <c r="O895" s="146"/>
      <c r="P895" s="146"/>
      <c r="Q895" s="146"/>
      <c r="R895" s="146"/>
      <c r="S895" s="146"/>
      <c r="T895" s="146"/>
      <c r="U895" s="146"/>
      <c r="V895" s="146"/>
      <c r="W895" s="146"/>
      <c r="X895" s="146"/>
      <c r="Y895" s="146"/>
      <c r="Z895" s="146"/>
    </row>
    <row r="896" spans="1:26" ht="15.75" customHeight="1" x14ac:dyDescent="0.25">
      <c r="A896" s="146"/>
      <c r="B896" s="146"/>
      <c r="C896" s="146"/>
      <c r="D896" s="146"/>
      <c r="E896" s="146"/>
      <c r="F896" s="146"/>
      <c r="G896" s="146"/>
      <c r="H896" s="146"/>
      <c r="I896" s="146"/>
      <c r="J896" s="146"/>
      <c r="K896" s="146"/>
      <c r="L896" s="146"/>
      <c r="M896" s="146"/>
      <c r="N896" s="146"/>
      <c r="O896" s="146"/>
      <c r="P896" s="146"/>
      <c r="Q896" s="146"/>
      <c r="R896" s="146"/>
      <c r="S896" s="146"/>
      <c r="T896" s="146"/>
      <c r="U896" s="146"/>
      <c r="V896" s="146"/>
      <c r="W896" s="146"/>
      <c r="X896" s="146"/>
      <c r="Y896" s="146"/>
      <c r="Z896" s="146"/>
    </row>
    <row r="897" spans="1:26" ht="15.75" customHeight="1" x14ac:dyDescent="0.25">
      <c r="A897" s="146"/>
      <c r="B897" s="146"/>
      <c r="C897" s="146"/>
      <c r="D897" s="146"/>
      <c r="E897" s="146"/>
      <c r="F897" s="146"/>
      <c r="G897" s="146"/>
      <c r="H897" s="146"/>
      <c r="I897" s="146"/>
      <c r="J897" s="146"/>
      <c r="K897" s="146"/>
      <c r="L897" s="146"/>
      <c r="M897" s="146"/>
      <c r="N897" s="146"/>
      <c r="O897" s="146"/>
      <c r="P897" s="146"/>
      <c r="Q897" s="146"/>
      <c r="R897" s="146"/>
      <c r="S897" s="146"/>
      <c r="T897" s="146"/>
      <c r="U897" s="146"/>
      <c r="V897" s="146"/>
      <c r="W897" s="146"/>
      <c r="X897" s="146"/>
      <c r="Y897" s="146"/>
      <c r="Z897" s="146"/>
    </row>
    <row r="898" spans="1:26" ht="15.75" customHeight="1" x14ac:dyDescent="0.25">
      <c r="A898" s="146"/>
      <c r="B898" s="146"/>
      <c r="C898" s="146"/>
      <c r="D898" s="146"/>
      <c r="E898" s="146"/>
      <c r="F898" s="146"/>
      <c r="G898" s="146"/>
      <c r="H898" s="146"/>
      <c r="I898" s="146"/>
      <c r="J898" s="146"/>
      <c r="K898" s="146"/>
      <c r="L898" s="146"/>
      <c r="M898" s="146"/>
      <c r="N898" s="146"/>
      <c r="O898" s="146"/>
      <c r="P898" s="146"/>
      <c r="Q898" s="146"/>
      <c r="R898" s="146"/>
      <c r="S898" s="146"/>
      <c r="T898" s="146"/>
      <c r="U898" s="146"/>
      <c r="V898" s="146"/>
      <c r="W898" s="146"/>
      <c r="X898" s="146"/>
      <c r="Y898" s="146"/>
      <c r="Z898" s="146"/>
    </row>
    <row r="899" spans="1:26" ht="15.75" customHeight="1" x14ac:dyDescent="0.25">
      <c r="A899" s="146"/>
      <c r="B899" s="146"/>
      <c r="C899" s="146"/>
      <c r="D899" s="146"/>
      <c r="E899" s="146"/>
      <c r="F899" s="146"/>
      <c r="G899" s="146"/>
      <c r="H899" s="146"/>
      <c r="I899" s="146"/>
      <c r="J899" s="146"/>
      <c r="K899" s="146"/>
      <c r="L899" s="146"/>
      <c r="M899" s="146"/>
      <c r="N899" s="146"/>
      <c r="O899" s="146"/>
      <c r="P899" s="146"/>
      <c r="Q899" s="146"/>
      <c r="R899" s="146"/>
      <c r="S899" s="146"/>
      <c r="T899" s="146"/>
      <c r="U899" s="146"/>
      <c r="V899" s="146"/>
      <c r="W899" s="146"/>
      <c r="X899" s="146"/>
      <c r="Y899" s="146"/>
      <c r="Z899" s="146"/>
    </row>
    <row r="900" spans="1:26" ht="15.75" customHeight="1" x14ac:dyDescent="0.25">
      <c r="A900" s="146"/>
      <c r="B900" s="146"/>
      <c r="C900" s="146"/>
      <c r="D900" s="146"/>
      <c r="E900" s="146"/>
      <c r="F900" s="146"/>
      <c r="G900" s="146"/>
      <c r="H900" s="146"/>
      <c r="I900" s="146"/>
      <c r="J900" s="146"/>
      <c r="K900" s="146"/>
      <c r="L900" s="146"/>
      <c r="M900" s="146"/>
      <c r="N900" s="146"/>
      <c r="O900" s="146"/>
      <c r="P900" s="146"/>
      <c r="Q900" s="146"/>
      <c r="R900" s="146"/>
      <c r="S900" s="146"/>
      <c r="T900" s="146"/>
      <c r="U900" s="146"/>
      <c r="V900" s="146"/>
      <c r="W900" s="146"/>
      <c r="X900" s="146"/>
      <c r="Y900" s="146"/>
      <c r="Z900" s="146"/>
    </row>
    <row r="901" spans="1:26" ht="15.75" customHeight="1" x14ac:dyDescent="0.25">
      <c r="A901" s="146"/>
      <c r="B901" s="146"/>
      <c r="C901" s="146"/>
      <c r="D901" s="146"/>
      <c r="E901" s="146"/>
      <c r="F901" s="146"/>
      <c r="G901" s="146"/>
      <c r="H901" s="146"/>
      <c r="I901" s="146"/>
      <c r="J901" s="146"/>
      <c r="K901" s="146"/>
      <c r="L901" s="146"/>
      <c r="M901" s="146"/>
      <c r="N901" s="146"/>
      <c r="O901" s="146"/>
      <c r="P901" s="146"/>
      <c r="Q901" s="146"/>
      <c r="R901" s="146"/>
      <c r="S901" s="146"/>
      <c r="T901" s="146"/>
      <c r="U901" s="146"/>
      <c r="V901" s="146"/>
      <c r="W901" s="146"/>
      <c r="X901" s="146"/>
      <c r="Y901" s="146"/>
      <c r="Z901" s="146"/>
    </row>
    <row r="902" spans="1:26" ht="15.75" customHeight="1" x14ac:dyDescent="0.25">
      <c r="A902" s="146"/>
      <c r="B902" s="146"/>
      <c r="C902" s="146"/>
      <c r="D902" s="146"/>
      <c r="E902" s="146"/>
      <c r="F902" s="146"/>
      <c r="G902" s="146"/>
      <c r="H902" s="146"/>
      <c r="I902" s="146"/>
      <c r="J902" s="146"/>
      <c r="K902" s="146"/>
      <c r="L902" s="146"/>
      <c r="M902" s="146"/>
      <c r="N902" s="146"/>
      <c r="O902" s="146"/>
      <c r="P902" s="146"/>
      <c r="Q902" s="146"/>
      <c r="R902" s="146"/>
      <c r="S902" s="146"/>
      <c r="T902" s="146"/>
      <c r="U902" s="146"/>
      <c r="V902" s="146"/>
      <c r="W902" s="146"/>
      <c r="X902" s="146"/>
      <c r="Y902" s="146"/>
      <c r="Z902" s="146"/>
    </row>
    <row r="903" spans="1:26" ht="15.75" customHeight="1" x14ac:dyDescent="0.25">
      <c r="A903" s="146"/>
      <c r="B903" s="146"/>
      <c r="C903" s="146"/>
      <c r="D903" s="146"/>
      <c r="E903" s="146"/>
      <c r="F903" s="146"/>
      <c r="G903" s="146"/>
      <c r="H903" s="146"/>
      <c r="I903" s="146"/>
      <c r="J903" s="146"/>
      <c r="K903" s="146"/>
      <c r="L903" s="146"/>
      <c r="M903" s="146"/>
      <c r="N903" s="146"/>
      <c r="O903" s="146"/>
      <c r="P903" s="146"/>
      <c r="Q903" s="146"/>
      <c r="R903" s="146"/>
      <c r="S903" s="146"/>
      <c r="T903" s="146"/>
      <c r="U903" s="146"/>
      <c r="V903" s="146"/>
      <c r="W903" s="146"/>
      <c r="X903" s="146"/>
      <c r="Y903" s="146"/>
      <c r="Z903" s="146"/>
    </row>
    <row r="904" spans="1:26" ht="15.75" customHeight="1" x14ac:dyDescent="0.25">
      <c r="A904" s="146"/>
      <c r="B904" s="146"/>
      <c r="C904" s="146"/>
      <c r="D904" s="146"/>
      <c r="E904" s="146"/>
      <c r="F904" s="146"/>
      <c r="G904" s="146"/>
      <c r="H904" s="146"/>
      <c r="I904" s="146"/>
      <c r="J904" s="146"/>
      <c r="K904" s="146"/>
      <c r="L904" s="146"/>
      <c r="M904" s="146"/>
      <c r="N904" s="146"/>
      <c r="O904" s="146"/>
      <c r="P904" s="146"/>
      <c r="Q904" s="146"/>
      <c r="R904" s="146"/>
      <c r="S904" s="146"/>
      <c r="T904" s="146"/>
      <c r="U904" s="146"/>
      <c r="V904" s="146"/>
      <c r="W904" s="146"/>
      <c r="X904" s="146"/>
      <c r="Y904" s="146"/>
      <c r="Z904" s="146"/>
    </row>
    <row r="905" spans="1:26" ht="15.75" customHeight="1" x14ac:dyDescent="0.25">
      <c r="A905" s="146"/>
      <c r="B905" s="146"/>
      <c r="C905" s="146"/>
      <c r="D905" s="146"/>
      <c r="E905" s="146"/>
      <c r="F905" s="146"/>
      <c r="G905" s="146"/>
      <c r="H905" s="146"/>
      <c r="I905" s="146"/>
      <c r="J905" s="146"/>
      <c r="K905" s="146"/>
      <c r="L905" s="146"/>
      <c r="M905" s="146"/>
      <c r="N905" s="146"/>
      <c r="O905" s="146"/>
      <c r="P905" s="146"/>
      <c r="Q905" s="146"/>
      <c r="R905" s="146"/>
      <c r="S905" s="146"/>
      <c r="T905" s="146"/>
      <c r="U905" s="146"/>
      <c r="V905" s="146"/>
      <c r="W905" s="146"/>
      <c r="X905" s="146"/>
      <c r="Y905" s="146"/>
      <c r="Z905" s="146"/>
    </row>
    <row r="906" spans="1:26" ht="15.75" customHeight="1" x14ac:dyDescent="0.25">
      <c r="A906" s="146"/>
      <c r="B906" s="146"/>
      <c r="C906" s="146"/>
      <c r="D906" s="146"/>
      <c r="E906" s="146"/>
      <c r="F906" s="146"/>
      <c r="G906" s="146"/>
      <c r="H906" s="146"/>
      <c r="I906" s="146"/>
      <c r="J906" s="146"/>
      <c r="K906" s="146"/>
      <c r="L906" s="146"/>
      <c r="M906" s="146"/>
      <c r="N906" s="146"/>
      <c r="O906" s="146"/>
      <c r="P906" s="146"/>
      <c r="Q906" s="146"/>
      <c r="R906" s="146"/>
      <c r="S906" s="146"/>
      <c r="T906" s="146"/>
      <c r="U906" s="146"/>
      <c r="V906" s="146"/>
      <c r="W906" s="146"/>
      <c r="X906" s="146"/>
      <c r="Y906" s="146"/>
      <c r="Z906" s="146"/>
    </row>
    <row r="907" spans="1:26" ht="15.75" customHeight="1" x14ac:dyDescent="0.25">
      <c r="A907" s="146"/>
      <c r="B907" s="146"/>
      <c r="C907" s="146"/>
      <c r="D907" s="146"/>
      <c r="E907" s="146"/>
      <c r="F907" s="146"/>
      <c r="G907" s="146"/>
      <c r="H907" s="146"/>
      <c r="I907" s="146"/>
      <c r="J907" s="146"/>
      <c r="K907" s="146"/>
      <c r="L907" s="146"/>
      <c r="M907" s="146"/>
      <c r="N907" s="146"/>
      <c r="O907" s="146"/>
      <c r="P907" s="146"/>
      <c r="Q907" s="146"/>
      <c r="R907" s="146"/>
      <c r="S907" s="146"/>
      <c r="T907" s="146"/>
      <c r="U907" s="146"/>
      <c r="V907" s="146"/>
      <c r="W907" s="146"/>
      <c r="X907" s="146"/>
      <c r="Y907" s="146"/>
      <c r="Z907" s="146"/>
    </row>
    <row r="908" spans="1:26" ht="15.75" customHeight="1" x14ac:dyDescent="0.25">
      <c r="A908" s="146"/>
      <c r="B908" s="146"/>
      <c r="C908" s="146"/>
      <c r="D908" s="146"/>
      <c r="E908" s="146"/>
      <c r="F908" s="146"/>
      <c r="G908" s="146"/>
      <c r="H908" s="146"/>
      <c r="I908" s="146"/>
      <c r="J908" s="146"/>
      <c r="K908" s="146"/>
      <c r="L908" s="146"/>
      <c r="M908" s="146"/>
      <c r="N908" s="146"/>
      <c r="O908" s="146"/>
      <c r="P908" s="146"/>
      <c r="Q908" s="146"/>
      <c r="R908" s="146"/>
      <c r="S908" s="146"/>
      <c r="T908" s="146"/>
      <c r="U908" s="146"/>
      <c r="V908" s="146"/>
      <c r="W908" s="146"/>
      <c r="X908" s="146"/>
      <c r="Y908" s="146"/>
      <c r="Z908" s="146"/>
    </row>
    <row r="909" spans="1:26" ht="15.75" customHeight="1" x14ac:dyDescent="0.25">
      <c r="A909" s="146"/>
      <c r="B909" s="146"/>
      <c r="C909" s="146"/>
      <c r="D909" s="146"/>
      <c r="E909" s="146"/>
      <c r="F909" s="146"/>
      <c r="G909" s="146"/>
      <c r="H909" s="146"/>
      <c r="I909" s="146"/>
      <c r="J909" s="146"/>
      <c r="K909" s="146"/>
      <c r="L909" s="146"/>
      <c r="M909" s="146"/>
      <c r="N909" s="146"/>
      <c r="O909" s="146"/>
      <c r="P909" s="146"/>
      <c r="Q909" s="146"/>
      <c r="R909" s="146"/>
      <c r="S909" s="146"/>
      <c r="T909" s="146"/>
      <c r="U909" s="146"/>
      <c r="V909" s="146"/>
      <c r="W909" s="146"/>
      <c r="X909" s="146"/>
      <c r="Y909" s="146"/>
      <c r="Z909" s="146"/>
    </row>
    <row r="910" spans="1:26" ht="15.75" customHeight="1" x14ac:dyDescent="0.25">
      <c r="A910" s="146"/>
      <c r="B910" s="146"/>
      <c r="C910" s="146"/>
      <c r="D910" s="146"/>
      <c r="E910" s="146"/>
      <c r="F910" s="146"/>
      <c r="G910" s="146"/>
      <c r="H910" s="146"/>
      <c r="I910" s="146"/>
      <c r="J910" s="146"/>
      <c r="K910" s="146"/>
      <c r="L910" s="146"/>
      <c r="M910" s="146"/>
      <c r="N910" s="146"/>
      <c r="O910" s="146"/>
      <c r="P910" s="146"/>
      <c r="Q910" s="146"/>
      <c r="R910" s="146"/>
      <c r="S910" s="146"/>
      <c r="T910" s="146"/>
      <c r="U910" s="146"/>
      <c r="V910" s="146"/>
      <c r="W910" s="146"/>
      <c r="X910" s="146"/>
      <c r="Y910" s="146"/>
      <c r="Z910" s="146"/>
    </row>
    <row r="911" spans="1:26" ht="15.75" customHeight="1" x14ac:dyDescent="0.25">
      <c r="A911" s="146"/>
      <c r="B911" s="146"/>
      <c r="C911" s="146"/>
      <c r="D911" s="146"/>
      <c r="E911" s="146"/>
      <c r="F911" s="146"/>
      <c r="G911" s="146"/>
      <c r="H911" s="146"/>
      <c r="I911" s="146"/>
      <c r="J911" s="146"/>
      <c r="K911" s="146"/>
      <c r="L911" s="146"/>
      <c r="M911" s="146"/>
      <c r="N911" s="146"/>
      <c r="O911" s="146"/>
      <c r="P911" s="146"/>
      <c r="Q911" s="146"/>
      <c r="R911" s="146"/>
      <c r="S911" s="146"/>
      <c r="T911" s="146"/>
      <c r="U911" s="146"/>
      <c r="V911" s="146"/>
      <c r="W911" s="146"/>
      <c r="X911" s="146"/>
      <c r="Y911" s="146"/>
      <c r="Z911" s="146"/>
    </row>
    <row r="912" spans="1:26" ht="15.75" customHeight="1" x14ac:dyDescent="0.25">
      <c r="A912" s="146"/>
      <c r="B912" s="146"/>
      <c r="C912" s="146"/>
      <c r="D912" s="146"/>
      <c r="E912" s="146"/>
      <c r="F912" s="146"/>
      <c r="G912" s="146"/>
      <c r="H912" s="146"/>
      <c r="I912" s="146"/>
      <c r="J912" s="146"/>
      <c r="K912" s="146"/>
      <c r="L912" s="146"/>
      <c r="M912" s="146"/>
      <c r="N912" s="146"/>
      <c r="O912" s="146"/>
      <c r="P912" s="146"/>
      <c r="Q912" s="146"/>
      <c r="R912" s="146"/>
      <c r="S912" s="146"/>
      <c r="T912" s="146"/>
      <c r="U912" s="146"/>
      <c r="V912" s="146"/>
      <c r="W912" s="146"/>
      <c r="X912" s="146"/>
      <c r="Y912" s="146"/>
      <c r="Z912" s="146"/>
    </row>
    <row r="913" spans="1:26" ht="15.75" customHeight="1" x14ac:dyDescent="0.25">
      <c r="A913" s="146"/>
      <c r="B913" s="146"/>
      <c r="C913" s="146"/>
      <c r="D913" s="146"/>
      <c r="E913" s="146"/>
      <c r="F913" s="146"/>
      <c r="G913" s="146"/>
      <c r="H913" s="146"/>
      <c r="I913" s="146"/>
      <c r="J913" s="146"/>
      <c r="K913" s="146"/>
      <c r="L913" s="146"/>
      <c r="M913" s="146"/>
      <c r="N913" s="146"/>
      <c r="O913" s="146"/>
      <c r="P913" s="146"/>
      <c r="Q913" s="146"/>
      <c r="R913" s="146"/>
      <c r="S913" s="146"/>
      <c r="T913" s="146"/>
      <c r="U913" s="146"/>
      <c r="V913" s="146"/>
      <c r="W913" s="146"/>
      <c r="X913" s="146"/>
      <c r="Y913" s="146"/>
      <c r="Z913" s="146"/>
    </row>
    <row r="914" spans="1:26" ht="15.75" customHeight="1" x14ac:dyDescent="0.25">
      <c r="A914" s="146"/>
      <c r="B914" s="146"/>
      <c r="C914" s="146"/>
      <c r="D914" s="146"/>
      <c r="E914" s="146"/>
      <c r="F914" s="146"/>
      <c r="G914" s="146"/>
      <c r="H914" s="146"/>
      <c r="I914" s="146"/>
      <c r="J914" s="146"/>
      <c r="K914" s="146"/>
      <c r="L914" s="146"/>
      <c r="M914" s="146"/>
      <c r="N914" s="146"/>
      <c r="O914" s="146"/>
      <c r="P914" s="146"/>
      <c r="Q914" s="146"/>
      <c r="R914" s="146"/>
      <c r="S914" s="146"/>
      <c r="T914" s="146"/>
      <c r="U914" s="146"/>
      <c r="V914" s="146"/>
      <c r="W914" s="146"/>
      <c r="X914" s="146"/>
      <c r="Y914" s="146"/>
      <c r="Z914" s="146"/>
    </row>
    <row r="915" spans="1:26" ht="15.75" customHeight="1" x14ac:dyDescent="0.25">
      <c r="A915" s="146"/>
      <c r="B915" s="146"/>
      <c r="C915" s="146"/>
      <c r="D915" s="146"/>
      <c r="E915" s="146"/>
      <c r="F915" s="146"/>
      <c r="G915" s="146"/>
      <c r="H915" s="146"/>
      <c r="I915" s="146"/>
      <c r="J915" s="146"/>
      <c r="K915" s="146"/>
      <c r="L915" s="146"/>
      <c r="M915" s="146"/>
      <c r="N915" s="146"/>
      <c r="O915" s="146"/>
      <c r="P915" s="146"/>
      <c r="Q915" s="146"/>
      <c r="R915" s="146"/>
      <c r="S915" s="146"/>
      <c r="T915" s="146"/>
      <c r="U915" s="146"/>
      <c r="V915" s="146"/>
      <c r="W915" s="146"/>
      <c r="X915" s="146"/>
      <c r="Y915" s="146"/>
      <c r="Z915" s="146"/>
    </row>
    <row r="916" spans="1:26" ht="15.75" customHeight="1" x14ac:dyDescent="0.25">
      <c r="A916" s="146"/>
      <c r="B916" s="146"/>
      <c r="C916" s="146"/>
      <c r="D916" s="146"/>
      <c r="E916" s="146"/>
      <c r="F916" s="146"/>
      <c r="G916" s="146"/>
      <c r="H916" s="146"/>
      <c r="I916" s="146"/>
      <c r="J916" s="146"/>
      <c r="K916" s="146"/>
      <c r="L916" s="146"/>
      <c r="M916" s="146"/>
      <c r="N916" s="146"/>
      <c r="O916" s="146"/>
      <c r="P916" s="146"/>
      <c r="Q916" s="146"/>
      <c r="R916" s="146"/>
      <c r="S916" s="146"/>
      <c r="T916" s="146"/>
      <c r="U916" s="146"/>
      <c r="V916" s="146"/>
      <c r="W916" s="146"/>
      <c r="X916" s="146"/>
      <c r="Y916" s="146"/>
      <c r="Z916" s="146"/>
    </row>
    <row r="917" spans="1:26" ht="15.75" customHeight="1" x14ac:dyDescent="0.25">
      <c r="A917" s="146"/>
      <c r="B917" s="146"/>
      <c r="C917" s="146"/>
      <c r="D917" s="146"/>
      <c r="E917" s="146"/>
      <c r="F917" s="146"/>
      <c r="G917" s="146"/>
      <c r="H917" s="146"/>
      <c r="I917" s="146"/>
      <c r="J917" s="146"/>
      <c r="K917" s="146"/>
      <c r="L917" s="146"/>
      <c r="M917" s="146"/>
      <c r="N917" s="146"/>
      <c r="O917" s="146"/>
      <c r="P917" s="146"/>
      <c r="Q917" s="146"/>
      <c r="R917" s="146"/>
      <c r="S917" s="146"/>
      <c r="T917" s="146"/>
      <c r="U917" s="146"/>
      <c r="V917" s="146"/>
      <c r="W917" s="146"/>
      <c r="X917" s="146"/>
      <c r="Y917" s="146"/>
      <c r="Z917" s="146"/>
    </row>
    <row r="918" spans="1:26" ht="15.75" customHeight="1" x14ac:dyDescent="0.25">
      <c r="A918" s="146"/>
      <c r="B918" s="146"/>
      <c r="C918" s="146"/>
      <c r="D918" s="146"/>
      <c r="E918" s="146"/>
      <c r="F918" s="146"/>
      <c r="G918" s="146"/>
      <c r="H918" s="146"/>
      <c r="I918" s="146"/>
      <c r="J918" s="146"/>
      <c r="K918" s="146"/>
      <c r="L918" s="146"/>
      <c r="M918" s="146"/>
      <c r="N918" s="146"/>
      <c r="O918" s="146"/>
      <c r="P918" s="146"/>
      <c r="Q918" s="146"/>
      <c r="R918" s="146"/>
      <c r="S918" s="146"/>
      <c r="T918" s="146"/>
      <c r="U918" s="146"/>
      <c r="V918" s="146"/>
      <c r="W918" s="146"/>
      <c r="X918" s="146"/>
      <c r="Y918" s="146"/>
      <c r="Z918" s="146"/>
    </row>
    <row r="919" spans="1:26" ht="15.75" customHeight="1" x14ac:dyDescent="0.25">
      <c r="A919" s="146"/>
      <c r="B919" s="146"/>
      <c r="C919" s="146"/>
      <c r="D919" s="146"/>
      <c r="E919" s="146"/>
      <c r="F919" s="146"/>
      <c r="G919" s="146"/>
      <c r="H919" s="146"/>
      <c r="I919" s="146"/>
      <c r="J919" s="146"/>
      <c r="K919" s="146"/>
      <c r="L919" s="146"/>
      <c r="M919" s="146"/>
      <c r="N919" s="146"/>
      <c r="O919" s="146"/>
      <c r="P919" s="146"/>
      <c r="Q919" s="146"/>
      <c r="R919" s="146"/>
      <c r="S919" s="146"/>
      <c r="T919" s="146"/>
      <c r="U919" s="146"/>
      <c r="V919" s="146"/>
      <c r="W919" s="146"/>
      <c r="X919" s="146"/>
      <c r="Y919" s="146"/>
      <c r="Z919" s="146"/>
    </row>
    <row r="920" spans="1:26" ht="15.75" customHeight="1" x14ac:dyDescent="0.25">
      <c r="A920" s="146"/>
      <c r="B920" s="146"/>
      <c r="C920" s="146"/>
      <c r="D920" s="146"/>
      <c r="E920" s="146"/>
      <c r="F920" s="146"/>
      <c r="G920" s="146"/>
      <c r="H920" s="146"/>
      <c r="I920" s="146"/>
      <c r="J920" s="146"/>
      <c r="K920" s="146"/>
      <c r="L920" s="146"/>
      <c r="M920" s="146"/>
      <c r="N920" s="146"/>
      <c r="O920" s="146"/>
      <c r="P920" s="146"/>
      <c r="Q920" s="146"/>
      <c r="R920" s="146"/>
      <c r="S920" s="146"/>
      <c r="T920" s="146"/>
      <c r="U920" s="146"/>
      <c r="V920" s="146"/>
      <c r="W920" s="146"/>
      <c r="X920" s="146"/>
      <c r="Y920" s="146"/>
      <c r="Z920" s="146"/>
    </row>
    <row r="921" spans="1:26" ht="15.75" customHeight="1" x14ac:dyDescent="0.25">
      <c r="A921" s="146"/>
      <c r="B921" s="146"/>
      <c r="C921" s="146"/>
      <c r="D921" s="146"/>
      <c r="E921" s="146"/>
      <c r="F921" s="146"/>
      <c r="G921" s="146"/>
      <c r="H921" s="146"/>
      <c r="I921" s="146"/>
      <c r="J921" s="146"/>
      <c r="K921" s="146"/>
      <c r="L921" s="146"/>
      <c r="M921" s="146"/>
      <c r="N921" s="146"/>
      <c r="O921" s="146"/>
      <c r="P921" s="146"/>
      <c r="Q921" s="146"/>
      <c r="R921" s="146"/>
      <c r="S921" s="146"/>
      <c r="T921" s="146"/>
      <c r="U921" s="146"/>
      <c r="V921" s="146"/>
      <c r="W921" s="146"/>
      <c r="X921" s="146"/>
      <c r="Y921" s="146"/>
      <c r="Z921" s="146"/>
    </row>
    <row r="922" spans="1:26" ht="15.75" customHeight="1" x14ac:dyDescent="0.25">
      <c r="A922" s="146"/>
      <c r="B922" s="146"/>
      <c r="C922" s="146"/>
      <c r="D922" s="146"/>
      <c r="E922" s="146"/>
      <c r="F922" s="146"/>
      <c r="G922" s="146"/>
      <c r="H922" s="146"/>
      <c r="I922" s="146"/>
      <c r="J922" s="146"/>
      <c r="K922" s="146"/>
      <c r="L922" s="146"/>
      <c r="M922" s="146"/>
      <c r="N922" s="146"/>
      <c r="O922" s="146"/>
      <c r="P922" s="146"/>
      <c r="Q922" s="146"/>
      <c r="R922" s="146"/>
      <c r="S922" s="146"/>
      <c r="T922" s="146"/>
      <c r="U922" s="146"/>
      <c r="V922" s="146"/>
      <c r="W922" s="146"/>
      <c r="X922" s="146"/>
      <c r="Y922" s="146"/>
      <c r="Z922" s="146"/>
    </row>
    <row r="923" spans="1:26" ht="15.75" customHeight="1" x14ac:dyDescent="0.25">
      <c r="A923" s="146"/>
      <c r="B923" s="146"/>
      <c r="C923" s="146"/>
      <c r="D923" s="146"/>
      <c r="E923" s="146"/>
      <c r="F923" s="146"/>
      <c r="G923" s="146"/>
      <c r="H923" s="146"/>
      <c r="I923" s="146"/>
      <c r="J923" s="146"/>
      <c r="K923" s="146"/>
      <c r="L923" s="146"/>
      <c r="M923" s="146"/>
      <c r="N923" s="146"/>
      <c r="O923" s="146"/>
      <c r="P923" s="146"/>
      <c r="Q923" s="146"/>
      <c r="R923" s="146"/>
      <c r="S923" s="146"/>
      <c r="T923" s="146"/>
      <c r="U923" s="146"/>
      <c r="V923" s="146"/>
      <c r="W923" s="146"/>
      <c r="X923" s="146"/>
      <c r="Y923" s="146"/>
      <c r="Z923" s="146"/>
    </row>
    <row r="924" spans="1:26" ht="15.75" customHeight="1" x14ac:dyDescent="0.25">
      <c r="A924" s="146"/>
      <c r="B924" s="146"/>
      <c r="C924" s="146"/>
      <c r="D924" s="146"/>
      <c r="E924" s="146"/>
      <c r="F924" s="146"/>
      <c r="G924" s="146"/>
      <c r="H924" s="146"/>
      <c r="I924" s="146"/>
      <c r="J924" s="146"/>
      <c r="K924" s="146"/>
      <c r="L924" s="146"/>
      <c r="M924" s="146"/>
      <c r="N924" s="146"/>
      <c r="O924" s="146"/>
      <c r="P924" s="146"/>
      <c r="Q924" s="146"/>
      <c r="R924" s="146"/>
      <c r="S924" s="146"/>
      <c r="T924" s="146"/>
      <c r="U924" s="146"/>
      <c r="V924" s="146"/>
      <c r="W924" s="146"/>
      <c r="X924" s="146"/>
      <c r="Y924" s="146"/>
      <c r="Z924" s="146"/>
    </row>
    <row r="925" spans="1:26" ht="15.75" customHeight="1" x14ac:dyDescent="0.25">
      <c r="A925" s="146"/>
      <c r="B925" s="146"/>
      <c r="C925" s="146"/>
      <c r="D925" s="146"/>
      <c r="E925" s="146"/>
      <c r="F925" s="146"/>
      <c r="G925" s="146"/>
      <c r="H925" s="146"/>
      <c r="I925" s="146"/>
      <c r="J925" s="146"/>
      <c r="K925" s="146"/>
      <c r="L925" s="146"/>
      <c r="M925" s="146"/>
      <c r="N925" s="146"/>
      <c r="O925" s="146"/>
      <c r="P925" s="146"/>
      <c r="Q925" s="146"/>
      <c r="R925" s="146"/>
      <c r="S925" s="146"/>
      <c r="T925" s="146"/>
      <c r="U925" s="146"/>
      <c r="V925" s="146"/>
      <c r="W925" s="146"/>
      <c r="X925" s="146"/>
      <c r="Y925" s="146"/>
      <c r="Z925" s="146"/>
    </row>
    <row r="926" spans="1:26" ht="15.75" customHeight="1" x14ac:dyDescent="0.25">
      <c r="A926" s="146"/>
      <c r="B926" s="146"/>
      <c r="C926" s="146"/>
      <c r="D926" s="146"/>
      <c r="E926" s="146"/>
      <c r="F926" s="146"/>
      <c r="G926" s="146"/>
      <c r="H926" s="146"/>
      <c r="I926" s="146"/>
      <c r="J926" s="146"/>
      <c r="K926" s="146"/>
      <c r="L926" s="146"/>
      <c r="M926" s="146"/>
      <c r="N926" s="146"/>
      <c r="O926" s="146"/>
      <c r="P926" s="146"/>
      <c r="Q926" s="146"/>
      <c r="R926" s="146"/>
      <c r="S926" s="146"/>
      <c r="T926" s="146"/>
      <c r="U926" s="146"/>
      <c r="V926" s="146"/>
      <c r="W926" s="146"/>
      <c r="X926" s="146"/>
      <c r="Y926" s="146"/>
      <c r="Z926" s="146"/>
    </row>
    <row r="927" spans="1:26" ht="15.75" customHeight="1" x14ac:dyDescent="0.25">
      <c r="A927" s="146"/>
      <c r="B927" s="146"/>
      <c r="C927" s="146"/>
      <c r="D927" s="146"/>
      <c r="E927" s="146"/>
      <c r="F927" s="146"/>
      <c r="G927" s="146"/>
      <c r="H927" s="146"/>
      <c r="I927" s="146"/>
      <c r="J927" s="146"/>
      <c r="K927" s="146"/>
      <c r="L927" s="146"/>
      <c r="M927" s="146"/>
      <c r="N927" s="146"/>
      <c r="O927" s="146"/>
      <c r="P927" s="146"/>
      <c r="Q927" s="146"/>
      <c r="R927" s="146"/>
      <c r="S927" s="146"/>
      <c r="T927" s="146"/>
      <c r="U927" s="146"/>
      <c r="V927" s="146"/>
      <c r="W927" s="146"/>
      <c r="X927" s="146"/>
      <c r="Y927" s="146"/>
      <c r="Z927" s="146"/>
    </row>
    <row r="928" spans="1:26" ht="15.75" customHeight="1" x14ac:dyDescent="0.25">
      <c r="A928" s="146"/>
      <c r="B928" s="146"/>
      <c r="C928" s="146"/>
      <c r="D928" s="146"/>
      <c r="E928" s="146"/>
      <c r="F928" s="146"/>
      <c r="G928" s="146"/>
      <c r="H928" s="146"/>
      <c r="I928" s="146"/>
      <c r="J928" s="146"/>
      <c r="K928" s="146"/>
      <c r="L928" s="146"/>
      <c r="M928" s="146"/>
      <c r="N928" s="146"/>
      <c r="O928" s="146"/>
      <c r="P928" s="146"/>
      <c r="Q928" s="146"/>
      <c r="R928" s="146"/>
      <c r="S928" s="146"/>
      <c r="T928" s="146"/>
      <c r="U928" s="146"/>
      <c r="V928" s="146"/>
      <c r="W928" s="146"/>
      <c r="X928" s="146"/>
      <c r="Y928" s="146"/>
      <c r="Z928" s="146"/>
    </row>
    <row r="929" spans="1:26" ht="15.75" customHeight="1" x14ac:dyDescent="0.25">
      <c r="A929" s="146"/>
      <c r="B929" s="146"/>
      <c r="C929" s="146"/>
      <c r="D929" s="146"/>
      <c r="E929" s="146"/>
      <c r="F929" s="146"/>
      <c r="G929" s="146"/>
      <c r="H929" s="146"/>
      <c r="I929" s="146"/>
      <c r="J929" s="146"/>
      <c r="K929" s="146"/>
      <c r="L929" s="146"/>
      <c r="M929" s="146"/>
      <c r="N929" s="146"/>
      <c r="O929" s="146"/>
      <c r="P929" s="146"/>
      <c r="Q929" s="146"/>
      <c r="R929" s="146"/>
      <c r="S929" s="146"/>
      <c r="T929" s="146"/>
      <c r="U929" s="146"/>
      <c r="V929" s="146"/>
      <c r="W929" s="146"/>
      <c r="X929" s="146"/>
      <c r="Y929" s="146"/>
      <c r="Z929" s="146"/>
    </row>
    <row r="930" spans="1:26" ht="15.75" customHeight="1" x14ac:dyDescent="0.25">
      <c r="A930" s="146"/>
      <c r="B930" s="146"/>
      <c r="C930" s="146"/>
      <c r="D930" s="146"/>
      <c r="E930" s="146"/>
      <c r="F930" s="146"/>
      <c r="G930" s="146"/>
      <c r="H930" s="146"/>
      <c r="I930" s="146"/>
      <c r="J930" s="146"/>
      <c r="K930" s="146"/>
      <c r="L930" s="146"/>
      <c r="M930" s="146"/>
      <c r="N930" s="146"/>
      <c r="O930" s="146"/>
      <c r="P930" s="146"/>
      <c r="Q930" s="146"/>
      <c r="R930" s="146"/>
      <c r="S930" s="146"/>
      <c r="T930" s="146"/>
      <c r="U930" s="146"/>
      <c r="V930" s="146"/>
      <c r="W930" s="146"/>
      <c r="X930" s="146"/>
      <c r="Y930" s="146"/>
      <c r="Z930" s="146"/>
    </row>
    <row r="931" spans="1:26" ht="15.75" customHeight="1" x14ac:dyDescent="0.25">
      <c r="A931" s="146"/>
      <c r="B931" s="146"/>
      <c r="C931" s="146"/>
      <c r="D931" s="146"/>
      <c r="E931" s="146"/>
      <c r="F931" s="146"/>
      <c r="G931" s="146"/>
      <c r="H931" s="146"/>
      <c r="I931" s="146"/>
      <c r="J931" s="146"/>
      <c r="K931" s="146"/>
      <c r="L931" s="146"/>
      <c r="M931" s="146"/>
      <c r="N931" s="146"/>
      <c r="O931" s="146"/>
      <c r="P931" s="146"/>
      <c r="Q931" s="146"/>
      <c r="R931" s="146"/>
      <c r="S931" s="146"/>
      <c r="T931" s="146"/>
      <c r="U931" s="146"/>
      <c r="V931" s="146"/>
      <c r="W931" s="146"/>
      <c r="X931" s="146"/>
      <c r="Y931" s="146"/>
      <c r="Z931" s="146"/>
    </row>
    <row r="932" spans="1:26" ht="15.75" customHeight="1" x14ac:dyDescent="0.25">
      <c r="A932" s="146"/>
      <c r="B932" s="146"/>
      <c r="C932" s="146"/>
      <c r="D932" s="146"/>
      <c r="E932" s="146"/>
      <c r="F932" s="146"/>
      <c r="G932" s="146"/>
      <c r="H932" s="146"/>
      <c r="I932" s="146"/>
      <c r="J932" s="146"/>
      <c r="K932" s="146"/>
      <c r="L932" s="146"/>
      <c r="M932" s="146"/>
      <c r="N932" s="146"/>
      <c r="O932" s="146"/>
      <c r="P932" s="146"/>
      <c r="Q932" s="146"/>
      <c r="R932" s="146"/>
      <c r="S932" s="146"/>
      <c r="T932" s="146"/>
      <c r="U932" s="146"/>
      <c r="V932" s="146"/>
      <c r="W932" s="146"/>
      <c r="X932" s="146"/>
      <c r="Y932" s="146"/>
      <c r="Z932" s="146"/>
    </row>
    <row r="933" spans="1:26" ht="15.75" customHeight="1" x14ac:dyDescent="0.25">
      <c r="A933" s="146"/>
      <c r="B933" s="146"/>
      <c r="C933" s="146"/>
      <c r="D933" s="146"/>
      <c r="E933" s="146"/>
      <c r="F933" s="146"/>
      <c r="G933" s="146"/>
      <c r="H933" s="146"/>
      <c r="I933" s="146"/>
      <c r="J933" s="146"/>
      <c r="K933" s="146"/>
      <c r="L933" s="146"/>
      <c r="M933" s="146"/>
      <c r="N933" s="146"/>
      <c r="O933" s="146"/>
      <c r="P933" s="146"/>
      <c r="Q933" s="146"/>
      <c r="R933" s="146"/>
      <c r="S933" s="146"/>
      <c r="T933" s="146"/>
      <c r="U933" s="146"/>
      <c r="V933" s="146"/>
      <c r="W933" s="146"/>
      <c r="X933" s="146"/>
      <c r="Y933" s="146"/>
      <c r="Z933" s="146"/>
    </row>
    <row r="934" spans="1:26" ht="15.75" customHeight="1" x14ac:dyDescent="0.25">
      <c r="A934" s="146"/>
      <c r="B934" s="146"/>
      <c r="C934" s="146"/>
      <c r="D934" s="146"/>
      <c r="E934" s="146"/>
      <c r="F934" s="146"/>
      <c r="G934" s="146"/>
      <c r="H934" s="146"/>
      <c r="I934" s="146"/>
      <c r="J934" s="146"/>
      <c r="K934" s="146"/>
      <c r="L934" s="146"/>
      <c r="M934" s="146"/>
      <c r="N934" s="146"/>
      <c r="O934" s="146"/>
      <c r="P934" s="146"/>
      <c r="Q934" s="146"/>
      <c r="R934" s="146"/>
      <c r="S934" s="146"/>
      <c r="T934" s="146"/>
      <c r="U934" s="146"/>
      <c r="V934" s="146"/>
      <c r="W934" s="146"/>
      <c r="X934" s="146"/>
      <c r="Y934" s="146"/>
      <c r="Z934" s="146"/>
    </row>
    <row r="935" spans="1:26" ht="15.75" customHeight="1" x14ac:dyDescent="0.25">
      <c r="A935" s="146"/>
      <c r="B935" s="146"/>
      <c r="C935" s="146"/>
      <c r="D935" s="146"/>
      <c r="E935" s="146"/>
      <c r="F935" s="146"/>
      <c r="G935" s="146"/>
      <c r="H935" s="146"/>
      <c r="I935" s="146"/>
      <c r="J935" s="146"/>
      <c r="K935" s="146"/>
      <c r="L935" s="146"/>
      <c r="M935" s="146"/>
      <c r="N935" s="146"/>
      <c r="O935" s="146"/>
      <c r="P935" s="146"/>
      <c r="Q935" s="146"/>
      <c r="R935" s="146"/>
      <c r="S935" s="146"/>
      <c r="T935" s="146"/>
      <c r="U935" s="146"/>
      <c r="V935" s="146"/>
      <c r="W935" s="146"/>
      <c r="X935" s="146"/>
      <c r="Y935" s="146"/>
      <c r="Z935" s="146"/>
    </row>
    <row r="936" spans="1:26" ht="15.75" customHeight="1" x14ac:dyDescent="0.25">
      <c r="A936" s="146"/>
      <c r="B936" s="146"/>
      <c r="C936" s="146"/>
      <c r="D936" s="146"/>
      <c r="E936" s="146"/>
      <c r="F936" s="146"/>
      <c r="G936" s="146"/>
      <c r="H936" s="146"/>
      <c r="I936" s="146"/>
      <c r="J936" s="146"/>
      <c r="K936" s="146"/>
      <c r="L936" s="146"/>
      <c r="M936" s="146"/>
      <c r="N936" s="146"/>
      <c r="O936" s="146"/>
      <c r="P936" s="146"/>
      <c r="Q936" s="146"/>
      <c r="R936" s="146"/>
      <c r="S936" s="146"/>
      <c r="T936" s="146"/>
      <c r="U936" s="146"/>
      <c r="V936" s="146"/>
      <c r="W936" s="146"/>
      <c r="X936" s="146"/>
      <c r="Y936" s="146"/>
      <c r="Z936" s="146"/>
    </row>
    <row r="937" spans="1:26" ht="15.75" customHeight="1" x14ac:dyDescent="0.25">
      <c r="A937" s="146"/>
      <c r="B937" s="146"/>
      <c r="C937" s="146"/>
      <c r="D937" s="146"/>
      <c r="E937" s="146"/>
      <c r="F937" s="146"/>
      <c r="G937" s="146"/>
      <c r="H937" s="146"/>
      <c r="I937" s="146"/>
      <c r="J937" s="146"/>
      <c r="K937" s="146"/>
      <c r="L937" s="146"/>
      <c r="M937" s="146"/>
      <c r="N937" s="146"/>
      <c r="O937" s="146"/>
      <c r="P937" s="146"/>
      <c r="Q937" s="146"/>
      <c r="R937" s="146"/>
      <c r="S937" s="146"/>
      <c r="T937" s="146"/>
      <c r="U937" s="146"/>
      <c r="V937" s="146"/>
      <c r="W937" s="146"/>
      <c r="X937" s="146"/>
      <c r="Y937" s="146"/>
      <c r="Z937" s="146"/>
    </row>
    <row r="938" spans="1:26" ht="15.75" customHeight="1" x14ac:dyDescent="0.25">
      <c r="A938" s="146"/>
      <c r="B938" s="146"/>
      <c r="C938" s="146"/>
      <c r="D938" s="146"/>
      <c r="E938" s="146"/>
      <c r="F938" s="146"/>
      <c r="G938" s="146"/>
      <c r="H938" s="146"/>
      <c r="I938" s="146"/>
      <c r="J938" s="146"/>
      <c r="K938" s="146"/>
      <c r="L938" s="146"/>
      <c r="M938" s="146"/>
      <c r="N938" s="146"/>
      <c r="O938" s="146"/>
      <c r="P938" s="146"/>
      <c r="Q938" s="146"/>
      <c r="R938" s="146"/>
      <c r="S938" s="146"/>
      <c r="T938" s="146"/>
      <c r="U938" s="146"/>
      <c r="V938" s="146"/>
      <c r="W938" s="146"/>
      <c r="X938" s="146"/>
      <c r="Y938" s="146"/>
      <c r="Z938" s="146"/>
    </row>
    <row r="939" spans="1:26" ht="15.75" customHeight="1" x14ac:dyDescent="0.25">
      <c r="A939" s="146"/>
      <c r="B939" s="146"/>
      <c r="C939" s="146"/>
      <c r="D939" s="146"/>
      <c r="E939" s="146"/>
      <c r="F939" s="146"/>
      <c r="G939" s="146"/>
      <c r="H939" s="146"/>
      <c r="I939" s="146"/>
      <c r="J939" s="146"/>
      <c r="K939" s="146"/>
      <c r="L939" s="146"/>
      <c r="M939" s="146"/>
      <c r="N939" s="146"/>
      <c r="O939" s="146"/>
      <c r="P939" s="146"/>
      <c r="Q939" s="146"/>
      <c r="R939" s="146"/>
      <c r="S939" s="146"/>
      <c r="T939" s="146"/>
      <c r="U939" s="146"/>
      <c r="V939" s="146"/>
      <c r="W939" s="146"/>
      <c r="X939" s="146"/>
      <c r="Y939" s="146"/>
      <c r="Z939" s="146"/>
    </row>
    <row r="940" spans="1:26" ht="15.75" customHeight="1" x14ac:dyDescent="0.25">
      <c r="A940" s="146"/>
      <c r="B940" s="146"/>
      <c r="C940" s="146"/>
      <c r="D940" s="146"/>
      <c r="E940" s="146"/>
      <c r="F940" s="146"/>
      <c r="G940" s="146"/>
      <c r="H940" s="146"/>
      <c r="I940" s="146"/>
      <c r="J940" s="146"/>
      <c r="K940" s="146"/>
      <c r="L940" s="146"/>
      <c r="M940" s="146"/>
      <c r="N940" s="146"/>
      <c r="O940" s="146"/>
      <c r="P940" s="146"/>
      <c r="Q940" s="146"/>
      <c r="R940" s="146"/>
      <c r="S940" s="146"/>
      <c r="T940" s="146"/>
      <c r="U940" s="146"/>
      <c r="V940" s="146"/>
      <c r="W940" s="146"/>
      <c r="X940" s="146"/>
      <c r="Y940" s="146"/>
      <c r="Z940" s="146"/>
    </row>
    <row r="941" spans="1:26" ht="15.75" customHeight="1" x14ac:dyDescent="0.25">
      <c r="A941" s="146"/>
      <c r="B941" s="146"/>
      <c r="C941" s="146"/>
      <c r="D941" s="146"/>
      <c r="E941" s="146"/>
      <c r="F941" s="146"/>
      <c r="G941" s="146"/>
      <c r="H941" s="146"/>
      <c r="I941" s="146"/>
      <c r="J941" s="146"/>
      <c r="K941" s="146"/>
      <c r="L941" s="146"/>
      <c r="M941" s="146"/>
      <c r="N941" s="146"/>
      <c r="O941" s="146"/>
      <c r="P941" s="146"/>
      <c r="Q941" s="146"/>
      <c r="R941" s="146"/>
      <c r="S941" s="146"/>
      <c r="T941" s="146"/>
      <c r="U941" s="146"/>
      <c r="V941" s="146"/>
      <c r="W941" s="146"/>
      <c r="X941" s="146"/>
      <c r="Y941" s="146"/>
      <c r="Z941" s="146"/>
    </row>
    <row r="942" spans="1:26" ht="15.75" customHeight="1" x14ac:dyDescent="0.25">
      <c r="A942" s="146"/>
      <c r="B942" s="146"/>
      <c r="C942" s="146"/>
      <c r="D942" s="146"/>
      <c r="E942" s="146"/>
      <c r="F942" s="146"/>
      <c r="G942" s="146"/>
      <c r="H942" s="146"/>
      <c r="I942" s="146"/>
      <c r="J942" s="146"/>
      <c r="K942" s="146"/>
      <c r="L942" s="146"/>
      <c r="M942" s="146"/>
      <c r="N942" s="146"/>
      <c r="O942" s="146"/>
      <c r="P942" s="146"/>
      <c r="Q942" s="146"/>
      <c r="R942" s="146"/>
      <c r="S942" s="146"/>
      <c r="T942" s="146"/>
      <c r="U942" s="146"/>
      <c r="V942" s="146"/>
      <c r="W942" s="146"/>
      <c r="X942" s="146"/>
      <c r="Y942" s="146"/>
      <c r="Z942" s="146"/>
    </row>
    <row r="943" spans="1:26" ht="15.75" customHeight="1" x14ac:dyDescent="0.25">
      <c r="A943" s="146"/>
      <c r="B943" s="146"/>
      <c r="C943" s="146"/>
      <c r="D943" s="146"/>
      <c r="E943" s="146"/>
      <c r="F943" s="146"/>
      <c r="G943" s="146"/>
      <c r="H943" s="146"/>
      <c r="I943" s="146"/>
      <c r="J943" s="146"/>
      <c r="K943" s="146"/>
      <c r="L943" s="146"/>
      <c r="M943" s="146"/>
      <c r="N943" s="146"/>
      <c r="O943" s="146"/>
      <c r="P943" s="146"/>
      <c r="Q943" s="146"/>
      <c r="R943" s="146"/>
      <c r="S943" s="146"/>
      <c r="T943" s="146"/>
      <c r="U943" s="146"/>
      <c r="V943" s="146"/>
      <c r="W943" s="146"/>
      <c r="X943" s="146"/>
      <c r="Y943" s="146"/>
      <c r="Z943" s="146"/>
    </row>
    <row r="944" spans="1:26" ht="15.75" customHeight="1" x14ac:dyDescent="0.25">
      <c r="A944" s="146"/>
      <c r="B944" s="146"/>
      <c r="C944" s="146"/>
      <c r="D944" s="146"/>
      <c r="E944" s="146"/>
      <c r="F944" s="146"/>
      <c r="G944" s="146"/>
      <c r="H944" s="146"/>
      <c r="I944" s="146"/>
      <c r="J944" s="146"/>
      <c r="K944" s="146"/>
      <c r="L944" s="146"/>
      <c r="M944" s="146"/>
      <c r="N944" s="146"/>
      <c r="O944" s="146"/>
      <c r="P944" s="146"/>
      <c r="Q944" s="146"/>
      <c r="R944" s="146"/>
      <c r="S944" s="146"/>
      <c r="T944" s="146"/>
      <c r="U944" s="146"/>
      <c r="V944" s="146"/>
      <c r="W944" s="146"/>
      <c r="X944" s="146"/>
      <c r="Y944" s="146"/>
      <c r="Z944" s="146"/>
    </row>
    <row r="945" spans="1:26" ht="15.75" customHeight="1" x14ac:dyDescent="0.25">
      <c r="A945" s="146"/>
      <c r="B945" s="146"/>
      <c r="C945" s="146"/>
      <c r="D945" s="146"/>
      <c r="E945" s="146"/>
      <c r="F945" s="146"/>
      <c r="G945" s="146"/>
      <c r="H945" s="146"/>
      <c r="I945" s="146"/>
      <c r="J945" s="146"/>
      <c r="K945" s="146"/>
      <c r="L945" s="146"/>
      <c r="M945" s="146"/>
      <c r="N945" s="146"/>
      <c r="O945" s="146"/>
      <c r="P945" s="146"/>
      <c r="Q945" s="146"/>
      <c r="R945" s="146"/>
      <c r="S945" s="146"/>
      <c r="T945" s="146"/>
      <c r="U945" s="146"/>
      <c r="V945" s="146"/>
      <c r="W945" s="146"/>
      <c r="X945" s="146"/>
      <c r="Y945" s="146"/>
      <c r="Z945" s="146"/>
    </row>
    <row r="946" spans="1:26" ht="15.75" customHeight="1" x14ac:dyDescent="0.25">
      <c r="A946" s="146"/>
      <c r="B946" s="146"/>
      <c r="C946" s="146"/>
      <c r="D946" s="146"/>
      <c r="E946" s="146"/>
      <c r="F946" s="146"/>
      <c r="G946" s="146"/>
      <c r="H946" s="146"/>
      <c r="I946" s="146"/>
      <c r="J946" s="146"/>
      <c r="K946" s="146"/>
      <c r="L946" s="146"/>
      <c r="M946" s="146"/>
      <c r="N946" s="146"/>
      <c r="O946" s="146"/>
      <c r="P946" s="146"/>
      <c r="Q946" s="146"/>
      <c r="R946" s="146"/>
      <c r="S946" s="146"/>
      <c r="T946" s="146"/>
      <c r="U946" s="146"/>
      <c r="V946" s="146"/>
      <c r="W946" s="146"/>
      <c r="X946" s="146"/>
      <c r="Y946" s="146"/>
      <c r="Z946" s="146"/>
    </row>
    <row r="947" spans="1:26" ht="15.75" customHeight="1" x14ac:dyDescent="0.25">
      <c r="A947" s="146"/>
      <c r="B947" s="146"/>
      <c r="C947" s="146"/>
      <c r="D947" s="146"/>
      <c r="E947" s="146"/>
      <c r="F947" s="146"/>
      <c r="G947" s="146"/>
      <c r="H947" s="146"/>
      <c r="I947" s="146"/>
      <c r="J947" s="146"/>
      <c r="K947" s="146"/>
      <c r="L947" s="146"/>
      <c r="M947" s="146"/>
      <c r="N947" s="146"/>
      <c r="O947" s="146"/>
      <c r="P947" s="146"/>
      <c r="Q947" s="146"/>
      <c r="R947" s="146"/>
      <c r="S947" s="146"/>
      <c r="T947" s="146"/>
      <c r="U947" s="146"/>
      <c r="V947" s="146"/>
      <c r="W947" s="146"/>
      <c r="X947" s="146"/>
      <c r="Y947" s="146"/>
      <c r="Z947" s="146"/>
    </row>
    <row r="948" spans="1:26" ht="15.75" customHeight="1" x14ac:dyDescent="0.25">
      <c r="A948" s="146"/>
      <c r="B948" s="146"/>
      <c r="C948" s="146"/>
      <c r="D948" s="146"/>
      <c r="E948" s="146"/>
      <c r="F948" s="146"/>
      <c r="G948" s="146"/>
      <c r="H948" s="146"/>
      <c r="I948" s="146"/>
      <c r="J948" s="146"/>
      <c r="K948" s="146"/>
      <c r="L948" s="146"/>
      <c r="M948" s="146"/>
      <c r="N948" s="146"/>
      <c r="O948" s="146"/>
      <c r="P948" s="146"/>
      <c r="Q948" s="146"/>
      <c r="R948" s="146"/>
      <c r="S948" s="146"/>
      <c r="T948" s="146"/>
      <c r="U948" s="146"/>
      <c r="V948" s="146"/>
      <c r="W948" s="146"/>
      <c r="X948" s="146"/>
      <c r="Y948" s="146"/>
      <c r="Z948" s="146"/>
    </row>
    <row r="949" spans="1:26" ht="15.75" customHeight="1" x14ac:dyDescent="0.25">
      <c r="A949" s="146"/>
      <c r="B949" s="146"/>
      <c r="C949" s="146"/>
      <c r="D949" s="146"/>
      <c r="E949" s="146"/>
      <c r="F949" s="146"/>
      <c r="G949" s="146"/>
      <c r="H949" s="146"/>
      <c r="I949" s="146"/>
      <c r="J949" s="146"/>
      <c r="K949" s="146"/>
      <c r="L949" s="146"/>
      <c r="M949" s="146"/>
      <c r="N949" s="146"/>
      <c r="O949" s="146"/>
      <c r="P949" s="146"/>
      <c r="Q949" s="146"/>
      <c r="R949" s="146"/>
      <c r="S949" s="146"/>
      <c r="T949" s="146"/>
      <c r="U949" s="146"/>
      <c r="V949" s="146"/>
      <c r="W949" s="146"/>
      <c r="X949" s="146"/>
      <c r="Y949" s="146"/>
      <c r="Z949" s="146"/>
    </row>
    <row r="950" spans="1:26" ht="15.75" customHeight="1" x14ac:dyDescent="0.25">
      <c r="A950" s="146"/>
      <c r="B950" s="146"/>
      <c r="C950" s="146"/>
      <c r="D950" s="146"/>
      <c r="E950" s="146"/>
      <c r="F950" s="146"/>
      <c r="G950" s="146"/>
      <c r="H950" s="146"/>
      <c r="I950" s="146"/>
      <c r="J950" s="146"/>
      <c r="K950" s="146"/>
      <c r="L950" s="146"/>
      <c r="M950" s="146"/>
      <c r="N950" s="146"/>
      <c r="O950" s="146"/>
      <c r="P950" s="146"/>
      <c r="Q950" s="146"/>
      <c r="R950" s="146"/>
      <c r="S950" s="146"/>
      <c r="T950" s="146"/>
      <c r="U950" s="146"/>
      <c r="V950" s="146"/>
      <c r="W950" s="146"/>
      <c r="X950" s="146"/>
      <c r="Y950" s="146"/>
      <c r="Z950" s="146"/>
    </row>
    <row r="951" spans="1:26" ht="15.75" customHeight="1" x14ac:dyDescent="0.25">
      <c r="A951" s="146"/>
      <c r="B951" s="146"/>
      <c r="C951" s="146"/>
      <c r="D951" s="146"/>
      <c r="E951" s="146"/>
      <c r="F951" s="146"/>
      <c r="G951" s="146"/>
      <c r="H951" s="146"/>
      <c r="I951" s="146"/>
      <c r="J951" s="146"/>
      <c r="K951" s="146"/>
      <c r="L951" s="146"/>
      <c r="M951" s="146"/>
      <c r="N951" s="146"/>
      <c r="O951" s="146"/>
      <c r="P951" s="146"/>
      <c r="Q951" s="146"/>
      <c r="R951" s="146"/>
      <c r="S951" s="146"/>
      <c r="T951" s="146"/>
      <c r="U951" s="146"/>
      <c r="V951" s="146"/>
      <c r="W951" s="146"/>
      <c r="X951" s="146"/>
      <c r="Y951" s="146"/>
      <c r="Z951" s="146"/>
    </row>
    <row r="952" spans="1:26" ht="15.75" customHeight="1" x14ac:dyDescent="0.25">
      <c r="A952" s="146"/>
      <c r="B952" s="146"/>
      <c r="C952" s="146"/>
      <c r="D952" s="146"/>
      <c r="E952" s="146"/>
      <c r="F952" s="146"/>
      <c r="G952" s="146"/>
      <c r="H952" s="146"/>
      <c r="I952" s="146"/>
      <c r="J952" s="146"/>
      <c r="K952" s="146"/>
      <c r="L952" s="146"/>
      <c r="M952" s="146"/>
      <c r="N952" s="146"/>
      <c r="O952" s="146"/>
      <c r="P952" s="146"/>
      <c r="Q952" s="146"/>
      <c r="R952" s="146"/>
      <c r="S952" s="146"/>
      <c r="T952" s="146"/>
      <c r="U952" s="146"/>
      <c r="V952" s="146"/>
      <c r="W952" s="146"/>
      <c r="X952" s="146"/>
      <c r="Y952" s="146"/>
      <c r="Z952" s="146"/>
    </row>
    <row r="953" spans="1:26" ht="15.75" customHeight="1" x14ac:dyDescent="0.25">
      <c r="A953" s="146"/>
      <c r="B953" s="146"/>
      <c r="C953" s="146"/>
      <c r="D953" s="146"/>
      <c r="E953" s="146"/>
      <c r="F953" s="146"/>
      <c r="G953" s="146"/>
      <c r="H953" s="146"/>
      <c r="I953" s="146"/>
      <c r="J953" s="146"/>
      <c r="K953" s="146"/>
      <c r="L953" s="146"/>
      <c r="M953" s="146"/>
      <c r="N953" s="146"/>
      <c r="O953" s="146"/>
      <c r="P953" s="146"/>
      <c r="Q953" s="146"/>
      <c r="R953" s="146"/>
      <c r="S953" s="146"/>
      <c r="T953" s="146"/>
      <c r="U953" s="146"/>
      <c r="V953" s="146"/>
      <c r="W953" s="146"/>
      <c r="X953" s="146"/>
      <c r="Y953" s="146"/>
      <c r="Z953" s="146"/>
    </row>
    <row r="954" spans="1:26" ht="15.75" customHeight="1" x14ac:dyDescent="0.25">
      <c r="A954" s="146"/>
      <c r="B954" s="146"/>
      <c r="C954" s="146"/>
      <c r="D954" s="146"/>
      <c r="E954" s="146"/>
      <c r="F954" s="146"/>
      <c r="G954" s="146"/>
      <c r="H954" s="146"/>
      <c r="I954" s="146"/>
      <c r="J954" s="146"/>
      <c r="K954" s="146"/>
      <c r="L954" s="146"/>
      <c r="M954" s="146"/>
      <c r="N954" s="146"/>
      <c r="O954" s="146"/>
      <c r="P954" s="146"/>
      <c r="Q954" s="146"/>
      <c r="R954" s="146"/>
      <c r="S954" s="146"/>
      <c r="T954" s="146"/>
      <c r="U954" s="146"/>
      <c r="V954" s="146"/>
      <c r="W954" s="146"/>
      <c r="X954" s="146"/>
      <c r="Y954" s="146"/>
      <c r="Z954" s="146"/>
    </row>
    <row r="955" spans="1:26" ht="15.75" customHeight="1" x14ac:dyDescent="0.25">
      <c r="A955" s="146"/>
      <c r="B955" s="146"/>
      <c r="C955" s="146"/>
      <c r="D955" s="146"/>
      <c r="E955" s="146"/>
      <c r="F955" s="146"/>
      <c r="G955" s="146"/>
      <c r="H955" s="146"/>
      <c r="I955" s="146"/>
      <c r="J955" s="146"/>
      <c r="K955" s="146"/>
      <c r="L955" s="146"/>
      <c r="M955" s="146"/>
      <c r="N955" s="146"/>
      <c r="O955" s="146"/>
      <c r="P955" s="146"/>
      <c r="Q955" s="146"/>
      <c r="R955" s="146"/>
      <c r="S955" s="146"/>
      <c r="T955" s="146"/>
      <c r="U955" s="146"/>
      <c r="V955" s="146"/>
      <c r="W955" s="146"/>
      <c r="X955" s="146"/>
      <c r="Y955" s="146"/>
      <c r="Z955" s="146"/>
    </row>
    <row r="956" spans="1:26" ht="15.75" customHeight="1" x14ac:dyDescent="0.25">
      <c r="A956" s="146"/>
      <c r="B956" s="146"/>
      <c r="C956" s="146"/>
      <c r="D956" s="146"/>
      <c r="E956" s="146"/>
      <c r="F956" s="146"/>
      <c r="G956" s="146"/>
      <c r="H956" s="146"/>
      <c r="I956" s="146"/>
      <c r="J956" s="146"/>
      <c r="K956" s="146"/>
      <c r="L956" s="146"/>
      <c r="M956" s="146"/>
      <c r="N956" s="146"/>
      <c r="O956" s="146"/>
      <c r="P956" s="146"/>
      <c r="Q956" s="146"/>
      <c r="R956" s="146"/>
      <c r="S956" s="146"/>
      <c r="T956" s="146"/>
      <c r="U956" s="146"/>
      <c r="V956" s="146"/>
      <c r="W956" s="146"/>
      <c r="X956" s="146"/>
      <c r="Y956" s="146"/>
      <c r="Z956" s="146"/>
    </row>
    <row r="957" spans="1:26" ht="15.75" customHeight="1" x14ac:dyDescent="0.25">
      <c r="A957" s="146"/>
      <c r="B957" s="146"/>
      <c r="C957" s="146"/>
      <c r="D957" s="146"/>
      <c r="E957" s="146"/>
      <c r="F957" s="146"/>
      <c r="G957" s="146"/>
      <c r="H957" s="146"/>
      <c r="I957" s="146"/>
      <c r="J957" s="146"/>
      <c r="K957" s="146"/>
      <c r="L957" s="146"/>
      <c r="M957" s="146"/>
      <c r="N957" s="146"/>
      <c r="O957" s="146"/>
      <c r="P957" s="146"/>
      <c r="Q957" s="146"/>
      <c r="R957" s="146"/>
      <c r="S957" s="146"/>
      <c r="T957" s="146"/>
      <c r="U957" s="146"/>
      <c r="V957" s="146"/>
      <c r="W957" s="146"/>
      <c r="X957" s="146"/>
      <c r="Y957" s="146"/>
      <c r="Z957" s="146"/>
    </row>
    <row r="958" spans="1:26" ht="15.75" customHeight="1" x14ac:dyDescent="0.25">
      <c r="A958" s="146"/>
      <c r="B958" s="146"/>
      <c r="C958" s="146"/>
      <c r="D958" s="146"/>
      <c r="E958" s="146"/>
      <c r="F958" s="146"/>
      <c r="G958" s="146"/>
      <c r="H958" s="146"/>
      <c r="I958" s="146"/>
      <c r="J958" s="146"/>
      <c r="K958" s="146"/>
      <c r="L958" s="146"/>
      <c r="M958" s="146"/>
      <c r="N958" s="146"/>
      <c r="O958" s="146"/>
      <c r="P958" s="146"/>
      <c r="Q958" s="146"/>
      <c r="R958" s="146"/>
      <c r="S958" s="146"/>
      <c r="T958" s="146"/>
      <c r="U958" s="146"/>
      <c r="V958" s="146"/>
      <c r="W958" s="146"/>
      <c r="X958" s="146"/>
      <c r="Y958" s="146"/>
      <c r="Z958" s="146"/>
    </row>
    <row r="959" spans="1:26" ht="15.75" customHeight="1" x14ac:dyDescent="0.25">
      <c r="A959" s="146"/>
      <c r="B959" s="146"/>
      <c r="C959" s="146"/>
      <c r="D959" s="146"/>
      <c r="E959" s="146"/>
      <c r="F959" s="146"/>
      <c r="G959" s="146"/>
      <c r="H959" s="146"/>
      <c r="I959" s="146"/>
      <c r="J959" s="146"/>
      <c r="K959" s="146"/>
      <c r="L959" s="146"/>
      <c r="M959" s="146"/>
      <c r="N959" s="146"/>
      <c r="O959" s="146"/>
      <c r="P959" s="146"/>
      <c r="Q959" s="146"/>
      <c r="R959" s="146"/>
      <c r="S959" s="146"/>
      <c r="T959" s="146"/>
      <c r="U959" s="146"/>
      <c r="V959" s="146"/>
      <c r="W959" s="146"/>
      <c r="X959" s="146"/>
      <c r="Y959" s="146"/>
      <c r="Z959" s="146"/>
    </row>
    <row r="960" spans="1:26" ht="15.75" customHeight="1" x14ac:dyDescent="0.25">
      <c r="A960" s="146"/>
      <c r="B960" s="146"/>
      <c r="C960" s="146"/>
      <c r="D960" s="146"/>
      <c r="E960" s="146"/>
      <c r="F960" s="146"/>
      <c r="G960" s="146"/>
      <c r="H960" s="146"/>
      <c r="I960" s="146"/>
      <c r="J960" s="146"/>
      <c r="K960" s="146"/>
      <c r="L960" s="146"/>
      <c r="M960" s="146"/>
      <c r="N960" s="146"/>
      <c r="O960" s="146"/>
      <c r="P960" s="146"/>
      <c r="Q960" s="146"/>
      <c r="R960" s="146"/>
      <c r="S960" s="146"/>
      <c r="T960" s="146"/>
      <c r="U960" s="146"/>
      <c r="V960" s="146"/>
      <c r="W960" s="146"/>
      <c r="X960" s="146"/>
      <c r="Y960" s="146"/>
      <c r="Z960" s="146"/>
    </row>
    <row r="961" spans="1:26" ht="15.75" customHeight="1" x14ac:dyDescent="0.25">
      <c r="A961" s="146"/>
      <c r="B961" s="146"/>
      <c r="C961" s="146"/>
      <c r="D961" s="146"/>
      <c r="E961" s="146"/>
      <c r="F961" s="146"/>
      <c r="G961" s="146"/>
      <c r="H961" s="146"/>
      <c r="I961" s="146"/>
      <c r="J961" s="146"/>
      <c r="K961" s="146"/>
      <c r="L961" s="146"/>
      <c r="M961" s="146"/>
      <c r="N961" s="146"/>
      <c r="O961" s="146"/>
      <c r="P961" s="146"/>
      <c r="Q961" s="146"/>
      <c r="R961" s="146"/>
      <c r="S961" s="146"/>
      <c r="T961" s="146"/>
      <c r="U961" s="146"/>
      <c r="V961" s="146"/>
      <c r="W961" s="146"/>
      <c r="X961" s="146"/>
      <c r="Y961" s="146"/>
      <c r="Z961" s="146"/>
    </row>
    <row r="962" spans="1:26" ht="15.75" customHeight="1" x14ac:dyDescent="0.25">
      <c r="A962" s="146"/>
      <c r="B962" s="146"/>
      <c r="C962" s="146"/>
      <c r="D962" s="146"/>
      <c r="E962" s="146"/>
      <c r="F962" s="146"/>
      <c r="G962" s="146"/>
      <c r="H962" s="146"/>
      <c r="I962" s="146"/>
      <c r="J962" s="146"/>
      <c r="K962" s="146"/>
      <c r="L962" s="146"/>
      <c r="M962" s="146"/>
      <c r="N962" s="146"/>
      <c r="O962" s="146"/>
      <c r="P962" s="146"/>
      <c r="Q962" s="146"/>
      <c r="R962" s="146"/>
      <c r="S962" s="146"/>
      <c r="T962" s="146"/>
      <c r="U962" s="146"/>
      <c r="V962" s="146"/>
      <c r="W962" s="146"/>
      <c r="X962" s="146"/>
      <c r="Y962" s="146"/>
      <c r="Z962" s="146"/>
    </row>
    <row r="963" spans="1:26" ht="15.75" customHeight="1" x14ac:dyDescent="0.25">
      <c r="A963" s="146"/>
      <c r="B963" s="146"/>
      <c r="C963" s="146"/>
      <c r="D963" s="146"/>
      <c r="E963" s="146"/>
      <c r="F963" s="146"/>
      <c r="G963" s="146"/>
      <c r="H963" s="146"/>
      <c r="I963" s="146"/>
      <c r="J963" s="146"/>
      <c r="K963" s="146"/>
      <c r="L963" s="146"/>
      <c r="M963" s="146"/>
      <c r="N963" s="146"/>
      <c r="O963" s="146"/>
      <c r="P963" s="146"/>
      <c r="Q963" s="146"/>
      <c r="R963" s="146"/>
      <c r="S963" s="146"/>
      <c r="T963" s="146"/>
      <c r="U963" s="146"/>
      <c r="V963" s="146"/>
      <c r="W963" s="146"/>
      <c r="X963" s="146"/>
      <c r="Y963" s="146"/>
      <c r="Z963" s="146"/>
    </row>
    <row r="964" spans="1:26" ht="15.75" customHeight="1" x14ac:dyDescent="0.25">
      <c r="A964" s="146"/>
      <c r="B964" s="146"/>
      <c r="C964" s="146"/>
      <c r="D964" s="146"/>
      <c r="E964" s="146"/>
      <c r="F964" s="146"/>
      <c r="G964" s="146"/>
      <c r="H964" s="146"/>
      <c r="I964" s="146"/>
      <c r="J964" s="146"/>
      <c r="K964" s="146"/>
      <c r="L964" s="146"/>
      <c r="M964" s="146"/>
      <c r="N964" s="146"/>
      <c r="O964" s="146"/>
      <c r="P964" s="146"/>
      <c r="Q964" s="146"/>
      <c r="R964" s="146"/>
      <c r="S964" s="146"/>
      <c r="T964" s="146"/>
      <c r="U964" s="146"/>
      <c r="V964" s="146"/>
      <c r="W964" s="146"/>
      <c r="X964" s="146"/>
      <c r="Y964" s="146"/>
      <c r="Z964" s="146"/>
    </row>
    <row r="965" spans="1:26" ht="15.75" customHeight="1" x14ac:dyDescent="0.25">
      <c r="A965" s="146"/>
      <c r="B965" s="146"/>
      <c r="C965" s="146"/>
      <c r="D965" s="146"/>
      <c r="E965" s="146"/>
      <c r="F965" s="146"/>
      <c r="G965" s="146"/>
      <c r="H965" s="146"/>
      <c r="I965" s="146"/>
      <c r="J965" s="146"/>
      <c r="K965" s="146"/>
      <c r="L965" s="146"/>
      <c r="M965" s="146"/>
      <c r="N965" s="146"/>
      <c r="O965" s="146"/>
      <c r="P965" s="146"/>
      <c r="Q965" s="146"/>
      <c r="R965" s="146"/>
      <c r="S965" s="146"/>
      <c r="T965" s="146"/>
      <c r="U965" s="146"/>
      <c r="V965" s="146"/>
      <c r="W965" s="146"/>
      <c r="X965" s="146"/>
      <c r="Y965" s="146"/>
      <c r="Z965" s="146"/>
    </row>
    <row r="966" spans="1:26" ht="15.75" customHeight="1" x14ac:dyDescent="0.25">
      <c r="A966" s="146"/>
      <c r="B966" s="146"/>
      <c r="C966" s="146"/>
      <c r="D966" s="146"/>
      <c r="E966" s="146"/>
      <c r="F966" s="146"/>
      <c r="G966" s="146"/>
      <c r="H966" s="146"/>
      <c r="I966" s="146"/>
      <c r="J966" s="146"/>
      <c r="K966" s="146"/>
      <c r="L966" s="146"/>
      <c r="M966" s="146"/>
      <c r="N966" s="146"/>
      <c r="O966" s="146"/>
      <c r="P966" s="146"/>
      <c r="Q966" s="146"/>
      <c r="R966" s="146"/>
      <c r="S966" s="146"/>
      <c r="T966" s="146"/>
      <c r="U966" s="146"/>
      <c r="V966" s="146"/>
      <c r="W966" s="146"/>
      <c r="X966" s="146"/>
      <c r="Y966" s="146"/>
      <c r="Z966" s="146"/>
    </row>
    <row r="967" spans="1:26" ht="15.75" customHeight="1" x14ac:dyDescent="0.25">
      <c r="A967" s="146"/>
      <c r="B967" s="146"/>
      <c r="C967" s="146"/>
      <c r="D967" s="146"/>
      <c r="E967" s="146"/>
      <c r="F967" s="146"/>
      <c r="G967" s="146"/>
      <c r="H967" s="146"/>
      <c r="I967" s="146"/>
      <c r="J967" s="146"/>
      <c r="K967" s="146"/>
      <c r="L967" s="146"/>
      <c r="M967" s="146"/>
      <c r="N967" s="146"/>
      <c r="O967" s="146"/>
      <c r="P967" s="146"/>
      <c r="Q967" s="146"/>
      <c r="R967" s="146"/>
      <c r="S967" s="146"/>
      <c r="T967" s="146"/>
      <c r="U967" s="146"/>
      <c r="V967" s="146"/>
      <c r="W967" s="146"/>
      <c r="X967" s="146"/>
      <c r="Y967" s="146"/>
      <c r="Z967" s="146"/>
    </row>
    <row r="968" spans="1:26" ht="15.75" customHeight="1" x14ac:dyDescent="0.25">
      <c r="A968" s="146"/>
      <c r="B968" s="146"/>
      <c r="C968" s="146"/>
      <c r="D968" s="146"/>
      <c r="E968" s="146"/>
      <c r="F968" s="146"/>
      <c r="G968" s="146"/>
      <c r="H968" s="146"/>
      <c r="I968" s="146"/>
      <c r="J968" s="146"/>
      <c r="K968" s="146"/>
      <c r="L968" s="146"/>
      <c r="M968" s="146"/>
      <c r="N968" s="146"/>
      <c r="O968" s="146"/>
      <c r="P968" s="146"/>
      <c r="Q968" s="146"/>
      <c r="R968" s="146"/>
      <c r="S968" s="146"/>
      <c r="T968" s="146"/>
      <c r="U968" s="146"/>
      <c r="V968" s="146"/>
      <c r="W968" s="146"/>
      <c r="X968" s="146"/>
      <c r="Y968" s="146"/>
      <c r="Z968" s="146"/>
    </row>
    <row r="969" spans="1:26" ht="15.75" customHeight="1" x14ac:dyDescent="0.25">
      <c r="A969" s="146"/>
      <c r="B969" s="146"/>
      <c r="C969" s="146"/>
      <c r="D969" s="146"/>
      <c r="E969" s="146"/>
      <c r="F969" s="146"/>
      <c r="G969" s="146"/>
      <c r="H969" s="146"/>
      <c r="I969" s="146"/>
      <c r="J969" s="146"/>
      <c r="K969" s="146"/>
      <c r="L969" s="146"/>
      <c r="M969" s="146"/>
      <c r="N969" s="146"/>
      <c r="O969" s="146"/>
      <c r="P969" s="146"/>
      <c r="Q969" s="146"/>
      <c r="R969" s="146"/>
      <c r="S969" s="146"/>
      <c r="T969" s="146"/>
      <c r="U969" s="146"/>
      <c r="V969" s="146"/>
      <c r="W969" s="146"/>
      <c r="X969" s="146"/>
      <c r="Y969" s="146"/>
      <c r="Z969" s="146"/>
    </row>
    <row r="970" spans="1:26" ht="15.75" customHeight="1" x14ac:dyDescent="0.25">
      <c r="A970" s="146"/>
      <c r="B970" s="146"/>
      <c r="C970" s="146"/>
      <c r="D970" s="146"/>
      <c r="E970" s="146"/>
      <c r="F970" s="146"/>
      <c r="G970" s="146"/>
      <c r="H970" s="146"/>
      <c r="I970" s="146"/>
      <c r="J970" s="146"/>
      <c r="K970" s="146"/>
      <c r="L970" s="146"/>
      <c r="M970" s="146"/>
      <c r="N970" s="146"/>
      <c r="O970" s="146"/>
      <c r="P970" s="146"/>
      <c r="Q970" s="146"/>
      <c r="R970" s="146"/>
      <c r="S970" s="146"/>
      <c r="T970" s="146"/>
      <c r="U970" s="146"/>
      <c r="V970" s="146"/>
      <c r="W970" s="146"/>
      <c r="X970" s="146"/>
      <c r="Y970" s="146"/>
      <c r="Z970" s="146"/>
    </row>
    <row r="971" spans="1:26" ht="15.75" customHeight="1" x14ac:dyDescent="0.25">
      <c r="A971" s="146"/>
      <c r="B971" s="146"/>
      <c r="C971" s="146"/>
      <c r="D971" s="146"/>
      <c r="E971" s="146"/>
      <c r="F971" s="146"/>
      <c r="G971" s="146"/>
      <c r="H971" s="146"/>
      <c r="I971" s="146"/>
      <c r="J971" s="146"/>
      <c r="K971" s="146"/>
      <c r="L971" s="146"/>
      <c r="M971" s="146"/>
      <c r="N971" s="146"/>
      <c r="O971" s="146"/>
      <c r="P971" s="146"/>
      <c r="Q971" s="146"/>
      <c r="R971" s="146"/>
      <c r="S971" s="146"/>
      <c r="T971" s="146"/>
      <c r="U971" s="146"/>
      <c r="V971" s="146"/>
      <c r="W971" s="146"/>
      <c r="X971" s="146"/>
      <c r="Y971" s="146"/>
      <c r="Z971" s="146"/>
    </row>
    <row r="972" spans="1:26" ht="15.75" customHeight="1" x14ac:dyDescent="0.25">
      <c r="A972" s="146"/>
      <c r="B972" s="146"/>
      <c r="C972" s="146"/>
      <c r="D972" s="146"/>
      <c r="E972" s="146"/>
      <c r="F972" s="146"/>
      <c r="G972" s="146"/>
      <c r="H972" s="146"/>
      <c r="I972" s="146"/>
      <c r="J972" s="146"/>
      <c r="K972" s="146"/>
      <c r="L972" s="146"/>
      <c r="M972" s="146"/>
      <c r="N972" s="146"/>
      <c r="O972" s="146"/>
      <c r="P972" s="146"/>
      <c r="Q972" s="146"/>
      <c r="R972" s="146"/>
      <c r="S972" s="146"/>
      <c r="T972" s="146"/>
      <c r="U972" s="146"/>
      <c r="V972" s="146"/>
      <c r="W972" s="146"/>
      <c r="X972" s="146"/>
      <c r="Y972" s="146"/>
      <c r="Z972" s="146"/>
    </row>
    <row r="973" spans="1:26" ht="15.75" customHeight="1" x14ac:dyDescent="0.25">
      <c r="A973" s="146"/>
      <c r="B973" s="146"/>
      <c r="C973" s="146"/>
      <c r="D973" s="146"/>
      <c r="E973" s="146"/>
      <c r="F973" s="146"/>
      <c r="G973" s="146"/>
      <c r="H973" s="146"/>
      <c r="I973" s="146"/>
      <c r="J973" s="146"/>
      <c r="K973" s="146"/>
      <c r="L973" s="146"/>
      <c r="M973" s="146"/>
      <c r="N973" s="146"/>
      <c r="O973" s="146"/>
      <c r="P973" s="146"/>
      <c r="Q973" s="146"/>
      <c r="R973" s="146"/>
      <c r="S973" s="146"/>
      <c r="T973" s="146"/>
      <c r="U973" s="146"/>
      <c r="V973" s="146"/>
      <c r="W973" s="146"/>
      <c r="X973" s="146"/>
      <c r="Y973" s="146"/>
      <c r="Z973" s="146"/>
    </row>
    <row r="974" spans="1:26" ht="15.75" customHeight="1" x14ac:dyDescent="0.25">
      <c r="A974" s="146"/>
      <c r="B974" s="146"/>
      <c r="C974" s="146"/>
      <c r="D974" s="146"/>
      <c r="E974" s="146"/>
      <c r="F974" s="146"/>
      <c r="G974" s="146"/>
      <c r="H974" s="146"/>
      <c r="I974" s="146"/>
      <c r="J974" s="146"/>
      <c r="K974" s="146"/>
      <c r="L974" s="146"/>
      <c r="M974" s="146"/>
      <c r="N974" s="146"/>
      <c r="O974" s="146"/>
      <c r="P974" s="146"/>
      <c r="Q974" s="146"/>
      <c r="R974" s="146"/>
      <c r="S974" s="146"/>
      <c r="T974" s="146"/>
      <c r="U974" s="146"/>
      <c r="V974" s="146"/>
      <c r="W974" s="146"/>
      <c r="X974" s="146"/>
      <c r="Y974" s="146"/>
      <c r="Z974" s="146"/>
    </row>
    <row r="975" spans="1:26" ht="15.75" customHeight="1" x14ac:dyDescent="0.25">
      <c r="A975" s="146"/>
      <c r="B975" s="146"/>
      <c r="C975" s="146"/>
      <c r="D975" s="146"/>
      <c r="E975" s="146"/>
      <c r="F975" s="146"/>
      <c r="G975" s="146"/>
      <c r="H975" s="146"/>
      <c r="I975" s="146"/>
      <c r="J975" s="146"/>
      <c r="K975" s="146"/>
      <c r="L975" s="146"/>
      <c r="M975" s="146"/>
      <c r="N975" s="146"/>
      <c r="O975" s="146"/>
      <c r="P975" s="146"/>
      <c r="Q975" s="146"/>
      <c r="R975" s="146"/>
      <c r="S975" s="146"/>
      <c r="T975" s="146"/>
      <c r="U975" s="146"/>
      <c r="V975" s="146"/>
      <c r="W975" s="146"/>
      <c r="X975" s="146"/>
      <c r="Y975" s="146"/>
      <c r="Z975" s="146"/>
    </row>
    <row r="976" spans="1:26" ht="15.75" customHeight="1" x14ac:dyDescent="0.25">
      <c r="A976" s="146"/>
      <c r="B976" s="146"/>
      <c r="C976" s="146"/>
      <c r="D976" s="146"/>
      <c r="E976" s="146"/>
      <c r="F976" s="146"/>
      <c r="G976" s="146"/>
      <c r="H976" s="146"/>
      <c r="I976" s="146"/>
      <c r="J976" s="146"/>
      <c r="K976" s="146"/>
      <c r="L976" s="146"/>
      <c r="M976" s="146"/>
      <c r="N976" s="146"/>
      <c r="O976" s="146"/>
      <c r="P976" s="146"/>
      <c r="Q976" s="146"/>
      <c r="R976" s="146"/>
      <c r="S976" s="146"/>
      <c r="T976" s="146"/>
      <c r="U976" s="146"/>
      <c r="V976" s="146"/>
      <c r="W976" s="146"/>
      <c r="X976" s="146"/>
      <c r="Y976" s="146"/>
      <c r="Z976" s="146"/>
    </row>
    <row r="977" spans="1:26" ht="15.75" customHeight="1" x14ac:dyDescent="0.25">
      <c r="A977" s="146"/>
      <c r="B977" s="146"/>
      <c r="C977" s="146"/>
      <c r="D977" s="146"/>
      <c r="E977" s="146"/>
      <c r="F977" s="146"/>
      <c r="G977" s="146"/>
      <c r="H977" s="146"/>
      <c r="I977" s="146"/>
      <c r="J977" s="146"/>
      <c r="K977" s="146"/>
      <c r="L977" s="146"/>
      <c r="M977" s="146"/>
      <c r="N977" s="146"/>
      <c r="O977" s="146"/>
      <c r="P977" s="146"/>
      <c r="Q977" s="146"/>
      <c r="R977" s="146"/>
      <c r="S977" s="146"/>
      <c r="T977" s="146"/>
      <c r="U977" s="146"/>
      <c r="V977" s="146"/>
      <c r="W977" s="146"/>
      <c r="X977" s="146"/>
      <c r="Y977" s="146"/>
      <c r="Z977" s="146"/>
    </row>
    <row r="978" spans="1:26" ht="15.75" customHeight="1" x14ac:dyDescent="0.25">
      <c r="A978" s="146"/>
      <c r="B978" s="146"/>
      <c r="C978" s="146"/>
      <c r="D978" s="146"/>
      <c r="E978" s="146"/>
      <c r="F978" s="146"/>
      <c r="G978" s="146"/>
      <c r="H978" s="146"/>
      <c r="I978" s="146"/>
      <c r="J978" s="146"/>
      <c r="K978" s="146"/>
      <c r="L978" s="146"/>
      <c r="M978" s="146"/>
      <c r="N978" s="146"/>
      <c r="O978" s="146"/>
      <c r="P978" s="146"/>
      <c r="Q978" s="146"/>
      <c r="R978" s="146"/>
      <c r="S978" s="146"/>
      <c r="T978" s="146"/>
      <c r="U978" s="146"/>
      <c r="V978" s="146"/>
      <c r="W978" s="146"/>
      <c r="X978" s="146"/>
      <c r="Y978" s="146"/>
      <c r="Z978" s="146"/>
    </row>
    <row r="979" spans="1:26" ht="15.75" customHeight="1" x14ac:dyDescent="0.25">
      <c r="A979" s="146"/>
      <c r="B979" s="146"/>
      <c r="C979" s="146"/>
      <c r="D979" s="146"/>
      <c r="E979" s="146"/>
      <c r="F979" s="146"/>
      <c r="G979" s="146"/>
      <c r="H979" s="146"/>
      <c r="I979" s="146"/>
      <c r="J979" s="146"/>
      <c r="K979" s="146"/>
      <c r="L979" s="146"/>
      <c r="M979" s="146"/>
      <c r="N979" s="146"/>
      <c r="O979" s="146"/>
      <c r="P979" s="146"/>
      <c r="Q979" s="146"/>
      <c r="R979" s="146"/>
      <c r="S979" s="146"/>
      <c r="T979" s="146"/>
      <c r="U979" s="146"/>
      <c r="V979" s="146"/>
      <c r="W979" s="146"/>
      <c r="X979" s="146"/>
      <c r="Y979" s="146"/>
      <c r="Z979" s="146"/>
    </row>
    <row r="980" spans="1:26" ht="15.75" customHeight="1" x14ac:dyDescent="0.25">
      <c r="A980" s="146"/>
      <c r="B980" s="146"/>
      <c r="C980" s="146"/>
      <c r="D980" s="146"/>
      <c r="E980" s="146"/>
      <c r="F980" s="146"/>
      <c r="G980" s="146"/>
      <c r="H980" s="146"/>
      <c r="I980" s="146"/>
      <c r="J980" s="146"/>
      <c r="K980" s="146"/>
      <c r="L980" s="146"/>
      <c r="M980" s="146"/>
      <c r="N980" s="146"/>
      <c r="O980" s="146"/>
      <c r="P980" s="146"/>
      <c r="Q980" s="146"/>
      <c r="R980" s="146"/>
      <c r="S980" s="146"/>
      <c r="T980" s="146"/>
      <c r="U980" s="146"/>
      <c r="V980" s="146"/>
      <c r="W980" s="146"/>
      <c r="X980" s="146"/>
      <c r="Y980" s="146"/>
      <c r="Z980" s="146"/>
    </row>
    <row r="981" spans="1:26" ht="15.75" customHeight="1" x14ac:dyDescent="0.25">
      <c r="A981" s="146"/>
      <c r="B981" s="146"/>
      <c r="C981" s="146"/>
      <c r="D981" s="146"/>
      <c r="E981" s="146"/>
      <c r="F981" s="146"/>
      <c r="G981" s="146"/>
      <c r="H981" s="146"/>
      <c r="I981" s="146"/>
      <c r="J981" s="146"/>
      <c r="K981" s="146"/>
      <c r="L981" s="146"/>
      <c r="M981" s="146"/>
      <c r="N981" s="146"/>
      <c r="O981" s="146"/>
      <c r="P981" s="146"/>
      <c r="Q981" s="146"/>
      <c r="R981" s="146"/>
      <c r="S981" s="146"/>
      <c r="T981" s="146"/>
      <c r="U981" s="146"/>
      <c r="V981" s="146"/>
      <c r="W981" s="146"/>
      <c r="X981" s="146"/>
      <c r="Y981" s="146"/>
      <c r="Z981" s="146"/>
    </row>
    <row r="982" spans="1:26" ht="15.75" customHeight="1" x14ac:dyDescent="0.25">
      <c r="A982" s="146"/>
      <c r="B982" s="146"/>
      <c r="C982" s="146"/>
      <c r="D982" s="146"/>
      <c r="E982" s="146"/>
      <c r="F982" s="146"/>
      <c r="G982" s="146"/>
      <c r="H982" s="146"/>
      <c r="I982" s="146"/>
      <c r="J982" s="146"/>
      <c r="K982" s="146"/>
      <c r="L982" s="146"/>
      <c r="M982" s="146"/>
      <c r="N982" s="146"/>
      <c r="O982" s="146"/>
      <c r="P982" s="146"/>
      <c r="Q982" s="146"/>
      <c r="R982" s="146"/>
      <c r="S982" s="146"/>
      <c r="T982" s="146"/>
      <c r="U982" s="146"/>
      <c r="V982" s="146"/>
      <c r="W982" s="146"/>
      <c r="X982" s="146"/>
      <c r="Y982" s="146"/>
      <c r="Z982" s="146"/>
    </row>
    <row r="983" spans="1:26" ht="15.75" customHeight="1" x14ac:dyDescent="0.25">
      <c r="A983" s="146"/>
      <c r="B983" s="146"/>
      <c r="C983" s="146"/>
      <c r="D983" s="146"/>
      <c r="E983" s="146"/>
      <c r="F983" s="146"/>
      <c r="G983" s="146"/>
      <c r="H983" s="146"/>
      <c r="I983" s="146"/>
      <c r="J983" s="146"/>
      <c r="K983" s="146"/>
      <c r="L983" s="146"/>
      <c r="M983" s="146"/>
      <c r="N983" s="146"/>
      <c r="O983" s="146"/>
      <c r="P983" s="146"/>
      <c r="Q983" s="146"/>
      <c r="R983" s="146"/>
      <c r="S983" s="146"/>
      <c r="T983" s="146"/>
      <c r="U983" s="146"/>
      <c r="V983" s="146"/>
      <c r="W983" s="146"/>
      <c r="X983" s="146"/>
      <c r="Y983" s="146"/>
      <c r="Z983" s="146"/>
    </row>
    <row r="984" spans="1:26" ht="15.75" customHeight="1" x14ac:dyDescent="0.25">
      <c r="A984" s="146"/>
      <c r="B984" s="146"/>
      <c r="C984" s="146"/>
      <c r="D984" s="146"/>
      <c r="E984" s="146"/>
      <c r="F984" s="146"/>
      <c r="G984" s="146"/>
      <c r="H984" s="146"/>
      <c r="I984" s="146"/>
      <c r="J984" s="146"/>
      <c r="K984" s="146"/>
      <c r="L984" s="146"/>
      <c r="M984" s="146"/>
      <c r="N984" s="146"/>
      <c r="O984" s="146"/>
      <c r="P984" s="146"/>
      <c r="Q984" s="146"/>
      <c r="R984" s="146"/>
      <c r="S984" s="146"/>
      <c r="T984" s="146"/>
      <c r="U984" s="146"/>
      <c r="V984" s="146"/>
      <c r="W984" s="146"/>
      <c r="X984" s="146"/>
      <c r="Y984" s="146"/>
      <c r="Z984" s="146"/>
    </row>
    <row r="985" spans="1:26" ht="15.75" customHeight="1" x14ac:dyDescent="0.25">
      <c r="A985" s="146"/>
      <c r="B985" s="146"/>
      <c r="C985" s="146"/>
      <c r="D985" s="146"/>
      <c r="E985" s="146"/>
      <c r="F985" s="146"/>
      <c r="G985" s="146"/>
      <c r="H985" s="146"/>
      <c r="I985" s="146"/>
      <c r="J985" s="146"/>
      <c r="K985" s="146"/>
      <c r="L985" s="146"/>
      <c r="M985" s="146"/>
      <c r="N985" s="146"/>
      <c r="O985" s="146"/>
      <c r="P985" s="146"/>
      <c r="Q985" s="146"/>
      <c r="R985" s="146"/>
      <c r="S985" s="146"/>
      <c r="T985" s="146"/>
      <c r="U985" s="146"/>
      <c r="V985" s="146"/>
      <c r="W985" s="146"/>
      <c r="X985" s="146"/>
      <c r="Y985" s="146"/>
      <c r="Z985" s="146"/>
    </row>
    <row r="986" spans="1:26" ht="15.75" customHeight="1" x14ac:dyDescent="0.25">
      <c r="A986" s="146"/>
      <c r="B986" s="146"/>
      <c r="C986" s="146"/>
      <c r="D986" s="146"/>
      <c r="E986" s="146"/>
      <c r="F986" s="146"/>
      <c r="G986" s="146"/>
      <c r="H986" s="146"/>
      <c r="I986" s="146"/>
      <c r="J986" s="146"/>
      <c r="K986" s="146"/>
      <c r="L986" s="146"/>
      <c r="M986" s="146"/>
      <c r="N986" s="146"/>
      <c r="O986" s="146"/>
      <c r="P986" s="146"/>
      <c r="Q986" s="146"/>
      <c r="R986" s="146"/>
      <c r="S986" s="146"/>
      <c r="T986" s="146"/>
      <c r="U986" s="146"/>
      <c r="V986" s="146"/>
      <c r="W986" s="146"/>
      <c r="X986" s="146"/>
      <c r="Y986" s="146"/>
      <c r="Z986" s="146"/>
    </row>
    <row r="987" spans="1:26" ht="15.75" customHeight="1" x14ac:dyDescent="0.25">
      <c r="A987" s="146"/>
      <c r="B987" s="146"/>
      <c r="C987" s="146"/>
      <c r="D987" s="146"/>
      <c r="E987" s="146"/>
      <c r="F987" s="146"/>
      <c r="G987" s="146"/>
      <c r="H987" s="146"/>
      <c r="I987" s="146"/>
      <c r="J987" s="146"/>
      <c r="K987" s="146"/>
      <c r="L987" s="146"/>
      <c r="M987" s="146"/>
      <c r="N987" s="146"/>
      <c r="O987" s="146"/>
      <c r="P987" s="146"/>
      <c r="Q987" s="146"/>
      <c r="R987" s="146"/>
      <c r="S987" s="146"/>
      <c r="T987" s="146"/>
      <c r="U987" s="146"/>
      <c r="V987" s="146"/>
      <c r="W987" s="146"/>
      <c r="X987" s="146"/>
      <c r="Y987" s="146"/>
      <c r="Z987" s="146"/>
    </row>
    <row r="988" spans="1:26" ht="15.75" customHeight="1" x14ac:dyDescent="0.25">
      <c r="A988" s="146"/>
      <c r="B988" s="146"/>
      <c r="C988" s="146"/>
      <c r="D988" s="146"/>
      <c r="E988" s="146"/>
      <c r="F988" s="146"/>
      <c r="G988" s="146"/>
      <c r="H988" s="146"/>
      <c r="I988" s="146"/>
      <c r="J988" s="146"/>
      <c r="K988" s="146"/>
      <c r="L988" s="146"/>
      <c r="M988" s="146"/>
      <c r="N988" s="146"/>
      <c r="O988" s="146"/>
      <c r="P988" s="146"/>
      <c r="Q988" s="146"/>
      <c r="R988" s="146"/>
      <c r="S988" s="146"/>
      <c r="T988" s="146"/>
      <c r="U988" s="146"/>
      <c r="V988" s="146"/>
      <c r="W988" s="146"/>
      <c r="X988" s="146"/>
      <c r="Y988" s="146"/>
      <c r="Z988" s="146"/>
    </row>
    <row r="989" spans="1:26" ht="15.75" customHeight="1" x14ac:dyDescent="0.25">
      <c r="A989" s="146"/>
      <c r="B989" s="146"/>
      <c r="C989" s="146"/>
      <c r="D989" s="146"/>
      <c r="E989" s="146"/>
      <c r="F989" s="146"/>
      <c r="G989" s="146"/>
      <c r="H989" s="146"/>
      <c r="I989" s="146"/>
      <c r="J989" s="146"/>
      <c r="K989" s="146"/>
      <c r="L989" s="146"/>
      <c r="M989" s="146"/>
      <c r="N989" s="146"/>
      <c r="O989" s="146"/>
      <c r="P989" s="146"/>
      <c r="Q989" s="146"/>
      <c r="R989" s="146"/>
      <c r="S989" s="146"/>
      <c r="T989" s="146"/>
      <c r="U989" s="146"/>
      <c r="V989" s="146"/>
      <c r="W989" s="146"/>
      <c r="X989" s="146"/>
      <c r="Y989" s="146"/>
      <c r="Z989" s="146"/>
    </row>
    <row r="990" spans="1:26" ht="15.75" customHeight="1" x14ac:dyDescent="0.25">
      <c r="A990" s="146"/>
      <c r="B990" s="146"/>
      <c r="C990" s="146"/>
      <c r="D990" s="146"/>
      <c r="E990" s="146"/>
      <c r="F990" s="146"/>
      <c r="G990" s="146"/>
      <c r="H990" s="146"/>
      <c r="I990" s="146"/>
      <c r="J990" s="146"/>
      <c r="K990" s="146"/>
      <c r="L990" s="146"/>
      <c r="M990" s="146"/>
      <c r="N990" s="146"/>
      <c r="O990" s="146"/>
      <c r="P990" s="146"/>
      <c r="Q990" s="146"/>
      <c r="R990" s="146"/>
      <c r="S990" s="146"/>
      <c r="T990" s="146"/>
      <c r="U990" s="146"/>
      <c r="V990" s="146"/>
      <c r="W990" s="146"/>
      <c r="X990" s="146"/>
      <c r="Y990" s="146"/>
      <c r="Z990" s="146"/>
    </row>
    <row r="991" spans="1:26" ht="15.75" customHeight="1" x14ac:dyDescent="0.25">
      <c r="A991" s="146"/>
      <c r="B991" s="146"/>
      <c r="C991" s="146"/>
      <c r="D991" s="146"/>
      <c r="E991" s="146"/>
      <c r="F991" s="146"/>
      <c r="G991" s="146"/>
      <c r="H991" s="146"/>
      <c r="I991" s="146"/>
      <c r="J991" s="146"/>
      <c r="K991" s="146"/>
      <c r="L991" s="146"/>
      <c r="M991" s="146"/>
      <c r="N991" s="146"/>
      <c r="O991" s="146"/>
      <c r="P991" s="146"/>
      <c r="Q991" s="146"/>
      <c r="R991" s="146"/>
      <c r="S991" s="146"/>
      <c r="T991" s="146"/>
      <c r="U991" s="146"/>
      <c r="V991" s="146"/>
      <c r="W991" s="146"/>
      <c r="X991" s="146"/>
      <c r="Y991" s="146"/>
      <c r="Z991" s="146"/>
    </row>
    <row r="992" spans="1:26" ht="15.75" customHeight="1" x14ac:dyDescent="0.25">
      <c r="A992" s="146"/>
      <c r="B992" s="146"/>
      <c r="C992" s="146"/>
      <c r="D992" s="146"/>
      <c r="E992" s="146"/>
      <c r="F992" s="146"/>
      <c r="G992" s="146"/>
      <c r="H992" s="146"/>
      <c r="I992" s="146"/>
      <c r="J992" s="146"/>
      <c r="K992" s="146"/>
      <c r="L992" s="146"/>
      <c r="M992" s="146"/>
      <c r="N992" s="146"/>
      <c r="O992" s="146"/>
      <c r="P992" s="146"/>
      <c r="Q992" s="146"/>
      <c r="R992" s="146"/>
      <c r="S992" s="146"/>
      <c r="T992" s="146"/>
      <c r="U992" s="146"/>
      <c r="V992" s="146"/>
      <c r="W992" s="146"/>
      <c r="X992" s="146"/>
      <c r="Y992" s="146"/>
      <c r="Z992" s="146"/>
    </row>
    <row r="993" spans="1:26" ht="15.75" customHeight="1" x14ac:dyDescent="0.25">
      <c r="A993" s="146"/>
      <c r="B993" s="146"/>
      <c r="C993" s="146"/>
      <c r="D993" s="146"/>
      <c r="E993" s="146"/>
      <c r="F993" s="146"/>
      <c r="G993" s="146"/>
      <c r="H993" s="146"/>
      <c r="I993" s="146"/>
      <c r="J993" s="146"/>
      <c r="K993" s="146"/>
      <c r="L993" s="146"/>
      <c r="M993" s="146"/>
      <c r="N993" s="146"/>
      <c r="O993" s="146"/>
      <c r="P993" s="146"/>
      <c r="Q993" s="146"/>
      <c r="R993" s="146"/>
      <c r="S993" s="146"/>
      <c r="T993" s="146"/>
      <c r="U993" s="146"/>
      <c r="V993" s="146"/>
      <c r="W993" s="146"/>
      <c r="X993" s="146"/>
      <c r="Y993" s="146"/>
      <c r="Z993" s="146"/>
    </row>
    <row r="994" spans="1:26" ht="15.75" customHeight="1" x14ac:dyDescent="0.25">
      <c r="A994" s="146"/>
      <c r="B994" s="146"/>
      <c r="C994" s="146"/>
      <c r="D994" s="146"/>
      <c r="E994" s="146"/>
      <c r="F994" s="146"/>
      <c r="G994" s="146"/>
      <c r="H994" s="146"/>
      <c r="I994" s="146"/>
      <c r="J994" s="146"/>
      <c r="K994" s="146"/>
      <c r="L994" s="146"/>
      <c r="M994" s="146"/>
      <c r="N994" s="146"/>
      <c r="O994" s="146"/>
      <c r="P994" s="146"/>
      <c r="Q994" s="146"/>
      <c r="R994" s="146"/>
      <c r="S994" s="146"/>
      <c r="T994" s="146"/>
      <c r="U994" s="146"/>
      <c r="V994" s="146"/>
      <c r="W994" s="146"/>
      <c r="X994" s="146"/>
      <c r="Y994" s="146"/>
      <c r="Z994" s="146"/>
    </row>
    <row r="995" spans="1:26" ht="15.75" customHeight="1" x14ac:dyDescent="0.25">
      <c r="A995" s="146"/>
      <c r="B995" s="146"/>
      <c r="C995" s="146"/>
      <c r="D995" s="146"/>
      <c r="E995" s="146"/>
      <c r="F995" s="146"/>
      <c r="G995" s="146"/>
      <c r="H995" s="146"/>
      <c r="I995" s="146"/>
      <c r="J995" s="146"/>
      <c r="K995" s="146"/>
      <c r="L995" s="146"/>
      <c r="M995" s="146"/>
      <c r="N995" s="146"/>
      <c r="O995" s="146"/>
      <c r="P995" s="146"/>
      <c r="Q995" s="146"/>
      <c r="R995" s="146"/>
      <c r="S995" s="146"/>
      <c r="T995" s="146"/>
      <c r="U995" s="146"/>
      <c r="V995" s="146"/>
      <c r="W995" s="146"/>
      <c r="X995" s="146"/>
      <c r="Y995" s="146"/>
      <c r="Z995" s="146"/>
    </row>
    <row r="996" spans="1:26" ht="15.75" customHeight="1" x14ac:dyDescent="0.25">
      <c r="A996" s="146"/>
      <c r="B996" s="146"/>
      <c r="C996" s="146"/>
      <c r="D996" s="146"/>
      <c r="E996" s="146"/>
      <c r="F996" s="146"/>
      <c r="G996" s="146"/>
      <c r="H996" s="146"/>
      <c r="I996" s="146"/>
      <c r="J996" s="146"/>
      <c r="K996" s="146"/>
      <c r="L996" s="146"/>
      <c r="M996" s="146"/>
      <c r="N996" s="146"/>
      <c r="O996" s="146"/>
      <c r="P996" s="146"/>
      <c r="Q996" s="146"/>
      <c r="R996" s="146"/>
      <c r="S996" s="146"/>
      <c r="T996" s="146"/>
      <c r="U996" s="146"/>
      <c r="V996" s="146"/>
      <c r="W996" s="146"/>
      <c r="X996" s="146"/>
      <c r="Y996" s="146"/>
      <c r="Z996" s="146"/>
    </row>
    <row r="997" spans="1:26" ht="15.75" customHeight="1" x14ac:dyDescent="0.25">
      <c r="A997" s="146"/>
      <c r="B997" s="146"/>
      <c r="C997" s="146"/>
      <c r="D997" s="146"/>
      <c r="E997" s="146"/>
      <c r="F997" s="146"/>
      <c r="G997" s="146"/>
      <c r="H997" s="146"/>
      <c r="I997" s="146"/>
      <c r="J997" s="146"/>
      <c r="K997" s="146"/>
      <c r="L997" s="146"/>
      <c r="M997" s="146"/>
      <c r="N997" s="146"/>
      <c r="O997" s="146"/>
      <c r="P997" s="146"/>
      <c r="Q997" s="146"/>
      <c r="R997" s="146"/>
      <c r="S997" s="146"/>
      <c r="T997" s="146"/>
      <c r="U997" s="146"/>
      <c r="V997" s="146"/>
      <c r="W997" s="146"/>
      <c r="X997" s="146"/>
      <c r="Y997" s="146"/>
      <c r="Z997" s="146"/>
    </row>
    <row r="998" spans="1:26" ht="15.75" customHeight="1" x14ac:dyDescent="0.25">
      <c r="A998" s="146"/>
      <c r="B998" s="146"/>
      <c r="C998" s="146"/>
      <c r="D998" s="146"/>
      <c r="E998" s="146"/>
      <c r="F998" s="146"/>
      <c r="G998" s="146"/>
      <c r="H998" s="146"/>
      <c r="I998" s="146"/>
      <c r="J998" s="146"/>
      <c r="K998" s="146"/>
      <c r="L998" s="146"/>
      <c r="M998" s="146"/>
      <c r="N998" s="146"/>
      <c r="O998" s="146"/>
      <c r="P998" s="146"/>
      <c r="Q998" s="146"/>
      <c r="R998" s="146"/>
      <c r="S998" s="146"/>
      <c r="T998" s="146"/>
      <c r="U998" s="146"/>
      <c r="V998" s="146"/>
      <c r="W998" s="146"/>
      <c r="X998" s="146"/>
      <c r="Y998" s="146"/>
      <c r="Z998" s="146"/>
    </row>
    <row r="999" spans="1:26" ht="15.75" customHeight="1" x14ac:dyDescent="0.25">
      <c r="A999" s="146"/>
      <c r="B999" s="146"/>
      <c r="C999" s="146"/>
      <c r="D999" s="146"/>
      <c r="E999" s="146"/>
      <c r="F999" s="146"/>
      <c r="G999" s="146"/>
      <c r="H999" s="146"/>
      <c r="I999" s="146"/>
      <c r="J999" s="146"/>
      <c r="K999" s="146"/>
      <c r="L999" s="146"/>
      <c r="M999" s="146"/>
      <c r="N999" s="146"/>
      <c r="O999" s="146"/>
      <c r="P999" s="146"/>
      <c r="Q999" s="146"/>
      <c r="R999" s="146"/>
      <c r="S999" s="146"/>
      <c r="T999" s="146"/>
      <c r="U999" s="146"/>
      <c r="V999" s="146"/>
      <c r="W999" s="146"/>
      <c r="X999" s="146"/>
      <c r="Y999" s="146"/>
      <c r="Z999" s="146"/>
    </row>
    <row r="1000" spans="1:26" ht="15.75" customHeight="1" x14ac:dyDescent="0.25">
      <c r="A1000" s="146"/>
      <c r="B1000" s="146"/>
      <c r="C1000" s="146"/>
      <c r="D1000" s="146"/>
      <c r="E1000" s="146"/>
      <c r="F1000" s="146"/>
      <c r="G1000" s="146"/>
      <c r="H1000" s="146"/>
      <c r="I1000" s="146"/>
      <c r="J1000" s="146"/>
      <c r="K1000" s="146"/>
      <c r="L1000" s="146"/>
      <c r="M1000" s="146"/>
      <c r="N1000" s="146"/>
      <c r="O1000" s="146"/>
      <c r="P1000" s="146"/>
      <c r="Q1000" s="146"/>
      <c r="R1000" s="146"/>
      <c r="S1000" s="146"/>
      <c r="T1000" s="146"/>
      <c r="U1000" s="146"/>
      <c r="V1000" s="146"/>
      <c r="W1000" s="146"/>
      <c r="X1000" s="146"/>
      <c r="Y1000" s="146"/>
      <c r="Z1000" s="146"/>
    </row>
    <row r="1001" spans="1:26" ht="15.75" customHeight="1" x14ac:dyDescent="0.25">
      <c r="A1001" s="146"/>
      <c r="B1001" s="146"/>
      <c r="C1001" s="146"/>
      <c r="D1001" s="146"/>
      <c r="E1001" s="146"/>
      <c r="F1001" s="146"/>
      <c r="G1001" s="146"/>
      <c r="H1001" s="146"/>
      <c r="I1001" s="146"/>
      <c r="J1001" s="146"/>
      <c r="K1001" s="146"/>
      <c r="L1001" s="146"/>
      <c r="M1001" s="146"/>
      <c r="N1001" s="146"/>
      <c r="O1001" s="146"/>
      <c r="P1001" s="146"/>
      <c r="Q1001" s="146"/>
      <c r="R1001" s="146"/>
      <c r="S1001" s="146"/>
      <c r="T1001" s="146"/>
      <c r="U1001" s="146"/>
      <c r="V1001" s="146"/>
      <c r="W1001" s="146"/>
      <c r="X1001" s="146"/>
      <c r="Y1001" s="146"/>
      <c r="Z1001" s="146"/>
    </row>
    <row r="1002" spans="1:26" ht="15.75" customHeight="1" x14ac:dyDescent="0.25">
      <c r="A1002" s="146"/>
      <c r="B1002" s="146"/>
      <c r="C1002" s="146"/>
      <c r="D1002" s="146"/>
      <c r="E1002" s="146"/>
      <c r="F1002" s="146"/>
      <c r="G1002" s="146"/>
      <c r="H1002" s="146"/>
      <c r="I1002" s="146"/>
      <c r="J1002" s="146"/>
      <c r="K1002" s="146"/>
      <c r="L1002" s="146"/>
      <c r="M1002" s="146"/>
      <c r="N1002" s="146"/>
      <c r="O1002" s="146"/>
      <c r="P1002" s="146"/>
      <c r="Q1002" s="146"/>
      <c r="R1002" s="146"/>
      <c r="S1002" s="146"/>
      <c r="T1002" s="146"/>
      <c r="U1002" s="146"/>
      <c r="V1002" s="146"/>
      <c r="W1002" s="146"/>
      <c r="X1002" s="146"/>
      <c r="Y1002" s="146"/>
      <c r="Z1002" s="146"/>
    </row>
    <row r="1003" spans="1:26" ht="15.75" customHeight="1" x14ac:dyDescent="0.25">
      <c r="A1003" s="146"/>
      <c r="B1003" s="146"/>
      <c r="C1003" s="146"/>
      <c r="D1003" s="146"/>
      <c r="E1003" s="146"/>
      <c r="F1003" s="146"/>
      <c r="G1003" s="146"/>
      <c r="H1003" s="146"/>
      <c r="I1003" s="146"/>
      <c r="J1003" s="146"/>
      <c r="K1003" s="146"/>
      <c r="L1003" s="146"/>
      <c r="M1003" s="146"/>
      <c r="N1003" s="146"/>
      <c r="O1003" s="146"/>
      <c r="P1003" s="146"/>
      <c r="Q1003" s="146"/>
      <c r="R1003" s="146"/>
      <c r="S1003" s="146"/>
      <c r="T1003" s="146"/>
      <c r="U1003" s="146"/>
      <c r="V1003" s="146"/>
      <c r="W1003" s="146"/>
      <c r="X1003" s="146"/>
      <c r="Y1003" s="146"/>
      <c r="Z1003" s="146"/>
    </row>
    <row r="1004" spans="1:26" ht="15.75" customHeight="1" x14ac:dyDescent="0.25">
      <c r="A1004" s="146"/>
      <c r="B1004" s="146"/>
      <c r="C1004" s="146"/>
      <c r="D1004" s="146"/>
      <c r="E1004" s="146"/>
      <c r="F1004" s="146"/>
      <c r="G1004" s="146"/>
      <c r="H1004" s="146"/>
      <c r="I1004" s="146"/>
      <c r="J1004" s="146"/>
      <c r="K1004" s="146"/>
      <c r="L1004" s="146"/>
      <c r="M1004" s="146"/>
      <c r="N1004" s="146"/>
      <c r="O1004" s="146"/>
      <c r="P1004" s="146"/>
      <c r="Q1004" s="146"/>
      <c r="R1004" s="146"/>
      <c r="S1004" s="146"/>
      <c r="T1004" s="146"/>
      <c r="U1004" s="146"/>
      <c r="V1004" s="146"/>
      <c r="W1004" s="146"/>
      <c r="X1004" s="146"/>
      <c r="Y1004" s="146"/>
      <c r="Z1004" s="146"/>
    </row>
    <row r="1005" spans="1:26" ht="15.75" customHeight="1" x14ac:dyDescent="0.25">
      <c r="A1005" s="146"/>
      <c r="B1005" s="146"/>
      <c r="C1005" s="146"/>
      <c r="D1005" s="146"/>
      <c r="E1005" s="146"/>
      <c r="F1005" s="146"/>
      <c r="G1005" s="146"/>
      <c r="H1005" s="146"/>
      <c r="I1005" s="146"/>
      <c r="J1005" s="146"/>
      <c r="K1005" s="146"/>
      <c r="L1005" s="146"/>
      <c r="M1005" s="146"/>
      <c r="N1005" s="146"/>
      <c r="O1005" s="146"/>
      <c r="P1005" s="146"/>
      <c r="Q1005" s="146"/>
      <c r="R1005" s="146"/>
      <c r="S1005" s="146"/>
      <c r="T1005" s="146"/>
      <c r="U1005" s="146"/>
      <c r="V1005" s="146"/>
      <c r="W1005" s="146"/>
      <c r="X1005" s="146"/>
      <c r="Y1005" s="146"/>
      <c r="Z1005" s="146"/>
    </row>
    <row r="1006" spans="1:26" ht="15.75" customHeight="1" x14ac:dyDescent="0.25">
      <c r="A1006" s="146"/>
      <c r="B1006" s="146"/>
      <c r="C1006" s="146"/>
      <c r="D1006" s="146"/>
      <c r="E1006" s="146"/>
      <c r="F1006" s="146"/>
      <c r="G1006" s="146"/>
      <c r="H1006" s="146"/>
      <c r="I1006" s="146"/>
      <c r="J1006" s="146"/>
      <c r="K1006" s="146"/>
      <c r="L1006" s="146"/>
      <c r="M1006" s="146"/>
      <c r="N1006" s="146"/>
      <c r="O1006" s="146"/>
      <c r="P1006" s="146"/>
      <c r="Q1006" s="146"/>
      <c r="R1006" s="146"/>
      <c r="S1006" s="146"/>
      <c r="T1006" s="146"/>
      <c r="U1006" s="146"/>
      <c r="V1006" s="146"/>
      <c r="W1006" s="146"/>
      <c r="X1006" s="146"/>
      <c r="Y1006" s="146"/>
      <c r="Z1006" s="146"/>
    </row>
    <row r="1007" spans="1:26" ht="15.75" customHeight="1" x14ac:dyDescent="0.25">
      <c r="A1007" s="146"/>
      <c r="B1007" s="146"/>
      <c r="C1007" s="146"/>
      <c r="D1007" s="146"/>
      <c r="E1007" s="146"/>
      <c r="F1007" s="146"/>
      <c r="G1007" s="146"/>
      <c r="H1007" s="146"/>
      <c r="I1007" s="146"/>
      <c r="J1007" s="146"/>
      <c r="K1007" s="146"/>
      <c r="L1007" s="146"/>
      <c r="M1007" s="146"/>
      <c r="N1007" s="146"/>
      <c r="O1007" s="146"/>
      <c r="P1007" s="146"/>
      <c r="Q1007" s="146"/>
      <c r="R1007" s="146"/>
      <c r="S1007" s="146"/>
      <c r="T1007" s="146"/>
      <c r="U1007" s="146"/>
      <c r="V1007" s="146"/>
      <c r="W1007" s="146"/>
      <c r="X1007" s="146"/>
      <c r="Y1007" s="146"/>
      <c r="Z1007" s="146"/>
    </row>
  </sheetData>
  <mergeCells count="16">
    <mergeCell ref="B2:F6"/>
    <mergeCell ref="B12:C13"/>
    <mergeCell ref="B48:F51"/>
    <mergeCell ref="B52:F52"/>
    <mergeCell ref="B53:F53"/>
    <mergeCell ref="B22:B23"/>
    <mergeCell ref="C22:C23"/>
    <mergeCell ref="D22:D23"/>
    <mergeCell ref="E22:E23"/>
    <mergeCell ref="F22:F23"/>
    <mergeCell ref="B36:D36"/>
    <mergeCell ref="C40:F40"/>
    <mergeCell ref="C41:F41"/>
    <mergeCell ref="C42:F42"/>
    <mergeCell ref="C45:F45"/>
    <mergeCell ref="C46:F46"/>
  </mergeCells>
  <printOptions horizontalCentered="1"/>
  <pageMargins left="0.7" right="0.7" top="0.75" bottom="0.75" header="0.3" footer="0.3"/>
  <pageSetup paperSize="9" scale="46" fitToHeight="0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FE2228-284D-407C-B4BD-E1FEA650D1CC}">
  <dimension ref="D34:D73"/>
  <sheetViews>
    <sheetView workbookViewId="0"/>
  </sheetViews>
  <sheetFormatPr defaultRowHeight="13.8" x14ac:dyDescent="0.25"/>
  <sheetData>
    <row r="34" spans="4:4" x14ac:dyDescent="0.25">
      <c r="D34" s="295" t="s">
        <v>1649</v>
      </c>
    </row>
    <row r="36" spans="4:4" x14ac:dyDescent="0.25">
      <c r="D36" s="295" t="s">
        <v>1650</v>
      </c>
    </row>
    <row r="71" spans="4:4" x14ac:dyDescent="0.25">
      <c r="D71" s="295" t="s">
        <v>1651</v>
      </c>
    </row>
    <row r="73" spans="4:4" x14ac:dyDescent="0.25">
      <c r="D73" s="295"/>
    </row>
  </sheetData>
  <hyperlinks>
    <hyperlink ref="D34" r:id="rId1" display="https://www.ricardobombas.com.br/PressurizadorRowaMAXPRESS270VFMonofsico220V/prod-5423892/?form=MG0AV3" xr:uid="{ADFF5A14-A8D7-4F4F-A8FC-FC3C12E81D1A}"/>
    <hyperlink ref="D36" r:id="rId2" xr:uid="{2307661A-B799-4426-A2DF-9496B3379B36}"/>
    <hyperlink ref="D71" r:id="rId3" display="https://www.ricardobombas.com.br/pressurizadorrowamaxpress20emonofsico220v/prod-1186963/?form=MG0AV3" xr:uid="{EC5AAC08-9BB7-4637-BF14-F35BF8220933}"/>
  </hyperlinks>
  <pageMargins left="0.511811024" right="0.511811024" top="0.78740157499999996" bottom="0.78740157499999996" header="0.31496062000000002" footer="0.31496062000000002"/>
  <drawing r:id="rId4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BFBFBF"/>
    <pageSetUpPr fitToPage="1"/>
  </sheetPr>
  <dimension ref="A1:AA1007"/>
  <sheetViews>
    <sheetView workbookViewId="0"/>
  </sheetViews>
  <sheetFormatPr defaultColWidth="12.59765625" defaultRowHeight="15" customHeight="1" x14ac:dyDescent="0.25"/>
  <cols>
    <col min="1" max="1" width="3.19921875" customWidth="1"/>
    <col min="2" max="2" width="18.59765625" customWidth="1"/>
    <col min="3" max="3" width="97.59765625" customWidth="1"/>
    <col min="4" max="4" width="20.3984375" customWidth="1"/>
    <col min="5" max="6" width="36.59765625" customWidth="1"/>
    <col min="7" max="7" width="3.19921875" customWidth="1"/>
    <col min="8" max="27" width="13" customWidth="1"/>
  </cols>
  <sheetData>
    <row r="1" spans="1:27" ht="20.25" customHeight="1" x14ac:dyDescent="0.25">
      <c r="A1" s="4"/>
      <c r="B1" s="4"/>
      <c r="C1" s="4"/>
      <c r="D1" s="4"/>
      <c r="E1" s="4"/>
      <c r="F1" s="4"/>
      <c r="G1" s="4"/>
      <c r="H1" s="146"/>
      <c r="I1" s="146"/>
      <c r="J1" s="146"/>
      <c r="K1" s="146"/>
      <c r="L1" s="146"/>
      <c r="M1" s="146"/>
      <c r="N1" s="146"/>
      <c r="O1" s="146"/>
      <c r="P1" s="146"/>
      <c r="Q1" s="146"/>
      <c r="R1" s="146"/>
      <c r="S1" s="146"/>
      <c r="T1" s="146"/>
      <c r="U1" s="146"/>
      <c r="V1" s="146"/>
      <c r="W1" s="146"/>
      <c r="X1" s="146"/>
      <c r="Y1" s="146"/>
      <c r="Z1" s="146"/>
      <c r="AA1" s="146"/>
    </row>
    <row r="2" spans="1:27" ht="18.75" customHeight="1" x14ac:dyDescent="0.25">
      <c r="A2" s="46"/>
      <c r="B2" s="416" t="s">
        <v>433</v>
      </c>
      <c r="C2" s="417"/>
      <c r="D2" s="417"/>
      <c r="E2" s="417"/>
      <c r="F2" s="418"/>
      <c r="G2" s="46"/>
      <c r="H2" s="47"/>
      <c r="I2" s="46"/>
      <c r="J2" s="46"/>
      <c r="K2" s="46"/>
      <c r="L2" s="46"/>
      <c r="M2" s="46"/>
      <c r="N2" s="46"/>
      <c r="O2" s="46"/>
      <c r="P2" s="46"/>
      <c r="Q2" s="46"/>
      <c r="R2" s="46"/>
      <c r="S2" s="46"/>
      <c r="T2" s="46"/>
      <c r="U2" s="46"/>
      <c r="V2" s="44"/>
      <c r="W2" s="44"/>
      <c r="X2" s="44"/>
      <c r="Y2" s="44"/>
      <c r="Z2" s="1"/>
    </row>
    <row r="3" spans="1:27" ht="18.75" customHeight="1" x14ac:dyDescent="0.25">
      <c r="A3" s="46"/>
      <c r="B3" s="419"/>
      <c r="C3" s="420"/>
      <c r="D3" s="420"/>
      <c r="E3" s="420"/>
      <c r="F3" s="421"/>
      <c r="G3" s="46"/>
      <c r="H3" s="47"/>
      <c r="I3" s="46"/>
      <c r="J3" s="46"/>
      <c r="K3" s="46"/>
      <c r="L3" s="46"/>
      <c r="M3" s="46"/>
      <c r="N3" s="46"/>
      <c r="O3" s="46"/>
      <c r="P3" s="46"/>
      <c r="Q3" s="46"/>
      <c r="R3" s="46"/>
      <c r="S3" s="46"/>
      <c r="T3" s="46"/>
      <c r="U3" s="46"/>
      <c r="V3" s="44"/>
      <c r="W3" s="44"/>
      <c r="X3" s="44"/>
      <c r="Y3" s="44"/>
      <c r="Z3" s="1"/>
    </row>
    <row r="4" spans="1:27" ht="18.75" customHeight="1" x14ac:dyDescent="0.25">
      <c r="A4" s="46"/>
      <c r="B4" s="419"/>
      <c r="C4" s="420"/>
      <c r="D4" s="420"/>
      <c r="E4" s="420"/>
      <c r="F4" s="421"/>
      <c r="G4" s="46"/>
      <c r="H4" s="47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4"/>
      <c r="W4" s="44"/>
      <c r="X4" s="44"/>
      <c r="Y4" s="44"/>
      <c r="Z4" s="1"/>
    </row>
    <row r="5" spans="1:27" ht="18.75" customHeight="1" x14ac:dyDescent="0.25">
      <c r="A5" s="46"/>
      <c r="B5" s="419"/>
      <c r="C5" s="420"/>
      <c r="D5" s="420"/>
      <c r="E5" s="420"/>
      <c r="F5" s="421"/>
      <c r="G5" s="46"/>
      <c r="H5" s="47"/>
      <c r="I5" s="46"/>
      <c r="J5" s="46"/>
      <c r="K5" s="46"/>
      <c r="L5" s="46"/>
      <c r="M5" s="46"/>
      <c r="N5" s="46"/>
      <c r="O5" s="46"/>
      <c r="P5" s="46"/>
      <c r="Q5" s="46"/>
      <c r="R5" s="46"/>
      <c r="S5" s="46"/>
      <c r="T5" s="46"/>
      <c r="U5" s="46"/>
      <c r="V5" s="44"/>
      <c r="W5" s="44"/>
      <c r="X5" s="44"/>
      <c r="Y5" s="44"/>
      <c r="Z5" s="1"/>
    </row>
    <row r="6" spans="1:27" ht="18.75" customHeight="1" x14ac:dyDescent="0.25">
      <c r="A6" s="46"/>
      <c r="B6" s="422"/>
      <c r="C6" s="423"/>
      <c r="D6" s="423"/>
      <c r="E6" s="423"/>
      <c r="F6" s="424"/>
      <c r="G6" s="46"/>
      <c r="H6" s="47"/>
      <c r="I6" s="46"/>
      <c r="J6" s="46"/>
      <c r="K6" s="46"/>
      <c r="L6" s="46"/>
      <c r="M6" s="46"/>
      <c r="N6" s="46"/>
      <c r="O6" s="46"/>
      <c r="P6" s="46"/>
      <c r="Q6" s="46"/>
      <c r="R6" s="46"/>
      <c r="S6" s="46"/>
      <c r="T6" s="46"/>
      <c r="U6" s="46"/>
      <c r="V6" s="44"/>
      <c r="W6" s="44"/>
      <c r="X6" s="44"/>
      <c r="Y6" s="44"/>
      <c r="Z6" s="1"/>
    </row>
    <row r="7" spans="1:27" ht="15" customHeight="1" x14ac:dyDescent="0.25">
      <c r="A7" s="48"/>
      <c r="B7" s="4"/>
      <c r="C7" s="4"/>
      <c r="D7" s="4"/>
      <c r="E7" s="4"/>
      <c r="F7" s="4"/>
      <c r="G7" s="4"/>
      <c r="H7" s="48"/>
      <c r="I7" s="49"/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1"/>
    </row>
    <row r="8" spans="1:27" ht="15" customHeight="1" x14ac:dyDescent="0.25">
      <c r="A8" s="48"/>
      <c r="B8" s="50" t="str">
        <f>'DADOS GERAIS'!B8</f>
        <v>Secretaria de Atenção Especializada à Saúde</v>
      </c>
      <c r="C8" s="51"/>
      <c r="D8" s="52" t="s">
        <v>16</v>
      </c>
      <c r="E8" s="52" t="s">
        <v>17</v>
      </c>
      <c r="F8" s="53" t="str">
        <f>'DADOS GERAIS'!$B$22</f>
        <v>Data:</v>
      </c>
      <c r="G8" s="48"/>
      <c r="H8" s="49"/>
      <c r="I8" s="48"/>
      <c r="J8" s="48"/>
      <c r="K8" s="48"/>
      <c r="L8" s="48"/>
      <c r="M8" s="48"/>
      <c r="N8" s="48"/>
      <c r="O8" s="48"/>
      <c r="P8" s="48"/>
      <c r="Q8" s="48"/>
      <c r="R8" s="48"/>
      <c r="S8" s="48"/>
      <c r="T8" s="48"/>
      <c r="U8" s="48"/>
      <c r="V8" s="48"/>
      <c r="W8" s="48"/>
      <c r="X8" s="48"/>
      <c r="Y8" s="48"/>
      <c r="Z8" s="1"/>
    </row>
    <row r="9" spans="1:27" ht="15" customHeight="1" x14ac:dyDescent="0.25">
      <c r="A9" s="48"/>
      <c r="B9" s="54" t="str">
        <f>'DADOS GERAIS'!B9</f>
        <v>Unidade Básica de Saúde Porte 2 - Área Construída: 500,17m²</v>
      </c>
      <c r="C9" s="55"/>
      <c r="D9" s="56">
        <f>'DADOS GERAIS'!C19</f>
        <v>0.26869999999999999</v>
      </c>
      <c r="E9" s="56">
        <f>'ENCARGOS SOCIAIS'!F56</f>
        <v>0.47739999999999999</v>
      </c>
      <c r="F9" s="57" t="str">
        <f>'DADOS GERAIS'!$C$22</f>
        <v>02/2025</v>
      </c>
      <c r="G9" s="48"/>
      <c r="H9" s="49"/>
      <c r="I9" s="48"/>
      <c r="J9" s="48"/>
      <c r="K9" s="48"/>
      <c r="L9" s="48"/>
      <c r="M9" s="48"/>
      <c r="N9" s="48"/>
      <c r="O9" s="48"/>
      <c r="P9" s="48"/>
      <c r="Q9" s="48"/>
      <c r="R9" s="48"/>
      <c r="S9" s="48"/>
      <c r="T9" s="48"/>
      <c r="U9" s="48"/>
      <c r="V9" s="48"/>
      <c r="W9" s="48"/>
      <c r="X9" s="48"/>
      <c r="Y9" s="48"/>
      <c r="Z9" s="1"/>
    </row>
    <row r="10" spans="1:27" ht="15" customHeight="1" x14ac:dyDescent="0.25">
      <c r="A10" s="48"/>
      <c r="B10" s="58"/>
      <c r="C10" s="55"/>
      <c r="D10" s="1"/>
      <c r="E10" s="1"/>
      <c r="F10" s="59"/>
      <c r="G10" s="48"/>
      <c r="H10" s="49"/>
      <c r="I10" s="48"/>
      <c r="J10" s="48"/>
      <c r="K10" s="48"/>
      <c r="L10" s="48"/>
      <c r="M10" s="48"/>
      <c r="N10" s="48"/>
      <c r="O10" s="48"/>
      <c r="P10" s="48"/>
      <c r="Q10" s="48"/>
      <c r="R10" s="48"/>
      <c r="S10" s="48"/>
      <c r="T10" s="48"/>
      <c r="U10" s="48"/>
      <c r="V10" s="48"/>
      <c r="W10" s="48"/>
      <c r="X10" s="48"/>
      <c r="Y10" s="48"/>
      <c r="Z10" s="1"/>
    </row>
    <row r="11" spans="1:27" ht="15" customHeight="1" x14ac:dyDescent="0.25">
      <c r="A11" s="48"/>
      <c r="B11" s="60" t="str">
        <f>'DADOS GERAIS'!B11</f>
        <v>Bancos:</v>
      </c>
      <c r="C11" s="55"/>
      <c r="D11" s="61" t="s">
        <v>18</v>
      </c>
      <c r="E11" s="61" t="s">
        <v>19</v>
      </c>
      <c r="F11" s="59" t="str">
        <f>'DADOS GERAIS'!$B$23</f>
        <v>Revisão:</v>
      </c>
      <c r="G11" s="48"/>
      <c r="H11" s="49"/>
      <c r="I11" s="48"/>
      <c r="J11" s="48"/>
      <c r="K11" s="48"/>
      <c r="L11" s="48"/>
      <c r="M11" s="48"/>
      <c r="N11" s="48"/>
      <c r="O11" s="48"/>
      <c r="P11" s="48"/>
      <c r="Q11" s="48"/>
      <c r="R11" s="48"/>
      <c r="S11" s="48"/>
      <c r="T11" s="48"/>
      <c r="U11" s="48"/>
      <c r="V11" s="48"/>
      <c r="W11" s="48"/>
      <c r="X11" s="48"/>
      <c r="Y11" s="48"/>
      <c r="Z11" s="1"/>
    </row>
    <row r="12" spans="1:27" ht="15" customHeight="1" x14ac:dyDescent="0.25">
      <c r="A12" s="48"/>
      <c r="B12" s="347" t="str">
        <f>'DADOS GERAIS'!B12</f>
        <v>SINAPI (12/2024) - CPOS/CDHU (09/2024) - SBC (12/2024) - ORSE (12/2024) - IOPES (03/2024) - EMOP (12/2024) - SEINFRA 027 (DESONERADO)</v>
      </c>
      <c r="C12" s="348"/>
      <c r="D12" s="56">
        <f>'DADOS GERAIS'!C20</f>
        <v>0.19070000000000001</v>
      </c>
      <c r="E12" s="56">
        <f>'ENCARGOS SOCIAIS'!E56</f>
        <v>0.85799999999999998</v>
      </c>
      <c r="F12" s="62" t="str">
        <f>'DADOS GERAIS'!$C$23</f>
        <v>01</v>
      </c>
      <c r="G12" s="48"/>
      <c r="H12" s="49"/>
      <c r="I12" s="48"/>
      <c r="J12" s="48"/>
      <c r="K12" s="48"/>
      <c r="L12" s="48"/>
      <c r="M12" s="48"/>
      <c r="N12" s="48"/>
      <c r="O12" s="48"/>
      <c r="P12" s="48"/>
      <c r="Q12" s="48"/>
      <c r="R12" s="48"/>
      <c r="S12" s="48"/>
      <c r="T12" s="48"/>
      <c r="U12" s="48"/>
      <c r="V12" s="48"/>
      <c r="W12" s="48"/>
      <c r="X12" s="48"/>
      <c r="Y12" s="48"/>
      <c r="Z12" s="1"/>
    </row>
    <row r="13" spans="1:27" ht="15" customHeight="1" x14ac:dyDescent="0.25">
      <c r="A13" s="48"/>
      <c r="B13" s="349"/>
      <c r="C13" s="350"/>
      <c r="D13" s="63"/>
      <c r="E13" s="63"/>
      <c r="F13" s="64"/>
      <c r="G13" s="48"/>
      <c r="H13" s="49"/>
      <c r="I13" s="48"/>
      <c r="J13" s="48"/>
      <c r="K13" s="48"/>
      <c r="L13" s="48"/>
      <c r="M13" s="48"/>
      <c r="N13" s="48"/>
      <c r="O13" s="48"/>
      <c r="P13" s="48"/>
      <c r="Q13" s="48"/>
      <c r="R13" s="48"/>
      <c r="S13" s="48"/>
      <c r="T13" s="48"/>
      <c r="U13" s="48"/>
      <c r="V13" s="48"/>
      <c r="W13" s="48"/>
      <c r="X13" s="48"/>
      <c r="Y13" s="48"/>
      <c r="Z13" s="1"/>
    </row>
    <row r="14" spans="1:27" ht="15" customHeight="1" x14ac:dyDescent="0.25">
      <c r="A14" s="48"/>
      <c r="B14" s="4"/>
      <c r="C14" s="4"/>
      <c r="D14" s="4"/>
      <c r="E14" s="4"/>
      <c r="F14" s="4"/>
      <c r="G14" s="4"/>
      <c r="H14" s="48"/>
      <c r="I14" s="49"/>
      <c r="J14" s="48"/>
      <c r="K14" s="48"/>
      <c r="L14" s="48"/>
      <c r="M14" s="48"/>
      <c r="N14" s="48"/>
      <c r="O14" s="48"/>
      <c r="P14" s="48"/>
      <c r="Q14" s="48"/>
      <c r="R14" s="48"/>
      <c r="S14" s="48"/>
      <c r="T14" s="48"/>
      <c r="U14" s="48"/>
      <c r="V14" s="48"/>
      <c r="W14" s="48"/>
      <c r="X14" s="48"/>
      <c r="Y14" s="48"/>
      <c r="Z14" s="48"/>
      <c r="AA14" s="1"/>
    </row>
    <row r="15" spans="1:27" ht="20.25" customHeight="1" x14ac:dyDescent="0.25">
      <c r="A15" s="4"/>
      <c r="B15" s="342" t="s">
        <v>434</v>
      </c>
      <c r="C15" s="407"/>
      <c r="D15" s="412"/>
      <c r="E15" s="407"/>
      <c r="F15" s="407"/>
      <c r="G15" s="4"/>
      <c r="H15" s="146"/>
      <c r="I15" s="146"/>
      <c r="J15" s="146"/>
      <c r="K15" s="146"/>
      <c r="L15" s="146"/>
      <c r="M15" s="146"/>
      <c r="N15" s="146"/>
      <c r="O15" s="146"/>
      <c r="P15" s="146"/>
      <c r="Q15" s="146"/>
      <c r="R15" s="146"/>
      <c r="S15" s="146"/>
      <c r="T15" s="146"/>
      <c r="U15" s="146"/>
      <c r="V15" s="146"/>
      <c r="W15" s="146"/>
      <c r="X15" s="146"/>
      <c r="Y15" s="146"/>
      <c r="Z15" s="146"/>
      <c r="AA15" s="146"/>
    </row>
    <row r="16" spans="1:27" ht="20.25" customHeight="1" x14ac:dyDescent="0.25">
      <c r="A16" s="4"/>
      <c r="B16" s="429" t="s">
        <v>435</v>
      </c>
      <c r="C16" s="425" t="s">
        <v>21</v>
      </c>
      <c r="D16" s="426"/>
      <c r="E16" s="430" t="s">
        <v>436</v>
      </c>
      <c r="F16" s="343"/>
      <c r="G16" s="4"/>
      <c r="H16" s="146"/>
      <c r="I16" s="146"/>
      <c r="J16" s="146"/>
      <c r="K16" s="146"/>
      <c r="L16" s="146"/>
      <c r="M16" s="146"/>
      <c r="N16" s="146"/>
      <c r="O16" s="146"/>
      <c r="P16" s="146"/>
      <c r="Q16" s="146"/>
      <c r="R16" s="146"/>
      <c r="S16" s="146"/>
      <c r="T16" s="146"/>
      <c r="U16" s="146"/>
      <c r="V16" s="146"/>
      <c r="W16" s="146"/>
      <c r="X16" s="146"/>
      <c r="Y16" s="146"/>
      <c r="Z16" s="146"/>
      <c r="AA16" s="146"/>
    </row>
    <row r="17" spans="1:27" ht="20.25" customHeight="1" x14ac:dyDescent="0.25">
      <c r="A17" s="4"/>
      <c r="B17" s="405"/>
      <c r="C17" s="427"/>
      <c r="D17" s="428"/>
      <c r="E17" s="170" t="s">
        <v>437</v>
      </c>
      <c r="F17" s="170" t="s">
        <v>438</v>
      </c>
      <c r="G17" s="4"/>
      <c r="H17" s="146"/>
      <c r="I17" s="146"/>
      <c r="J17" s="146"/>
      <c r="K17" s="146"/>
      <c r="L17" s="146"/>
      <c r="M17" s="146"/>
      <c r="N17" s="146"/>
      <c r="O17" s="146"/>
      <c r="P17" s="146"/>
      <c r="Q17" s="146"/>
      <c r="R17" s="146"/>
      <c r="S17" s="146"/>
      <c r="T17" s="146"/>
      <c r="U17" s="146"/>
      <c r="V17" s="146"/>
      <c r="W17" s="146"/>
      <c r="X17" s="146"/>
      <c r="Y17" s="146"/>
      <c r="Z17" s="146"/>
      <c r="AA17" s="146"/>
    </row>
    <row r="18" spans="1:27" ht="6" customHeight="1" x14ac:dyDescent="0.25">
      <c r="A18" s="4"/>
      <c r="B18" s="65"/>
      <c r="C18" s="65"/>
      <c r="D18" s="65"/>
      <c r="E18" s="65"/>
      <c r="F18" s="65"/>
      <c r="G18" s="4"/>
      <c r="H18" s="146"/>
      <c r="I18" s="146"/>
      <c r="J18" s="146"/>
      <c r="K18" s="146"/>
      <c r="L18" s="146"/>
      <c r="M18" s="146"/>
      <c r="N18" s="146"/>
      <c r="O18" s="146"/>
      <c r="P18" s="146"/>
      <c r="Q18" s="146"/>
      <c r="R18" s="146"/>
      <c r="S18" s="146"/>
      <c r="T18" s="146"/>
      <c r="U18" s="146"/>
      <c r="V18" s="146"/>
      <c r="W18" s="146"/>
      <c r="X18" s="146"/>
      <c r="Y18" s="146"/>
      <c r="Z18" s="146"/>
      <c r="AA18" s="146"/>
    </row>
    <row r="19" spans="1:27" ht="20.25" customHeight="1" x14ac:dyDescent="0.25">
      <c r="A19" s="4"/>
      <c r="B19" s="342" t="s">
        <v>439</v>
      </c>
      <c r="C19" s="407"/>
      <c r="D19" s="412"/>
      <c r="E19" s="407"/>
      <c r="F19" s="407"/>
      <c r="G19" s="4"/>
      <c r="H19" s="146"/>
      <c r="I19" s="146"/>
      <c r="J19" s="146"/>
      <c r="K19" s="146"/>
      <c r="L19" s="146"/>
      <c r="M19" s="146"/>
      <c r="N19" s="146"/>
      <c r="O19" s="146"/>
      <c r="P19" s="146"/>
      <c r="Q19" s="146"/>
      <c r="R19" s="146"/>
      <c r="S19" s="146"/>
      <c r="T19" s="146"/>
      <c r="U19" s="146"/>
      <c r="V19" s="146"/>
      <c r="W19" s="146"/>
      <c r="X19" s="146"/>
      <c r="Y19" s="146"/>
      <c r="Z19" s="146"/>
      <c r="AA19" s="146"/>
    </row>
    <row r="20" spans="1:27" ht="20.25" customHeight="1" x14ac:dyDescent="0.25">
      <c r="A20" s="4"/>
      <c r="B20" s="171" t="s">
        <v>440</v>
      </c>
      <c r="C20" s="414" t="s">
        <v>441</v>
      </c>
      <c r="D20" s="415"/>
      <c r="E20" s="172">
        <v>0</v>
      </c>
      <c r="F20" s="172">
        <v>0</v>
      </c>
      <c r="G20" s="4"/>
      <c r="H20" s="146"/>
      <c r="I20" s="146"/>
      <c r="J20" s="146"/>
      <c r="K20" s="146"/>
      <c r="L20" s="146"/>
      <c r="M20" s="146"/>
      <c r="N20" s="146"/>
      <c r="O20" s="146"/>
      <c r="P20" s="146"/>
      <c r="Q20" s="146"/>
      <c r="R20" s="146"/>
      <c r="S20" s="146"/>
      <c r="T20" s="146"/>
      <c r="U20" s="146"/>
      <c r="V20" s="146"/>
      <c r="W20" s="146"/>
      <c r="X20" s="146"/>
      <c r="Y20" s="146"/>
      <c r="Z20" s="146"/>
      <c r="AA20" s="146"/>
    </row>
    <row r="21" spans="1:27" ht="20.25" customHeight="1" x14ac:dyDescent="0.25">
      <c r="A21" s="4"/>
      <c r="B21" s="158" t="s">
        <v>442</v>
      </c>
      <c r="C21" s="410" t="s">
        <v>443</v>
      </c>
      <c r="D21" s="411"/>
      <c r="E21" s="160">
        <v>1.4999999999999999E-2</v>
      </c>
      <c r="F21" s="160">
        <v>1.4999999999999999E-2</v>
      </c>
      <c r="G21" s="4"/>
      <c r="H21" s="146"/>
      <c r="I21" s="146"/>
      <c r="J21" s="146"/>
      <c r="K21" s="146"/>
      <c r="L21" s="146"/>
      <c r="M21" s="146"/>
      <c r="N21" s="146"/>
      <c r="O21" s="146"/>
      <c r="P21" s="146"/>
      <c r="Q21" s="146"/>
      <c r="R21" s="146"/>
      <c r="S21" s="146"/>
      <c r="T21" s="146"/>
      <c r="U21" s="146"/>
      <c r="V21" s="146"/>
      <c r="W21" s="146"/>
      <c r="X21" s="146"/>
      <c r="Y21" s="146"/>
      <c r="Z21" s="146"/>
      <c r="AA21" s="146"/>
    </row>
    <row r="22" spans="1:27" ht="20.25" customHeight="1" x14ac:dyDescent="0.25">
      <c r="A22" s="4"/>
      <c r="B22" s="158" t="s">
        <v>444</v>
      </c>
      <c r="C22" s="410" t="s">
        <v>445</v>
      </c>
      <c r="D22" s="411"/>
      <c r="E22" s="160">
        <v>0.01</v>
      </c>
      <c r="F22" s="160">
        <v>0.01</v>
      </c>
      <c r="G22" s="4"/>
      <c r="H22" s="146"/>
      <c r="I22" s="146"/>
      <c r="J22" s="146"/>
      <c r="K22" s="146"/>
      <c r="L22" s="146"/>
      <c r="M22" s="146"/>
      <c r="N22" s="146"/>
      <c r="O22" s="146"/>
      <c r="P22" s="146"/>
      <c r="Q22" s="146"/>
      <c r="R22" s="146"/>
      <c r="S22" s="146"/>
      <c r="T22" s="146"/>
      <c r="U22" s="146"/>
      <c r="V22" s="146"/>
      <c r="W22" s="146"/>
      <c r="X22" s="146"/>
      <c r="Y22" s="146"/>
      <c r="Z22" s="146"/>
      <c r="AA22" s="146"/>
    </row>
    <row r="23" spans="1:27" ht="20.25" customHeight="1" x14ac:dyDescent="0.25">
      <c r="A23" s="4"/>
      <c r="B23" s="158" t="s">
        <v>446</v>
      </c>
      <c r="C23" s="410" t="s">
        <v>447</v>
      </c>
      <c r="D23" s="411"/>
      <c r="E23" s="160">
        <v>2E-3</v>
      </c>
      <c r="F23" s="160">
        <v>2E-3</v>
      </c>
      <c r="G23" s="4"/>
      <c r="H23" s="146"/>
      <c r="I23" s="146"/>
      <c r="J23" s="146"/>
      <c r="K23" s="146"/>
      <c r="L23" s="146"/>
      <c r="M23" s="146"/>
      <c r="N23" s="146"/>
      <c r="O23" s="146"/>
      <c r="P23" s="146"/>
      <c r="Q23" s="146"/>
      <c r="R23" s="146"/>
      <c r="S23" s="146"/>
      <c r="T23" s="146"/>
      <c r="U23" s="146"/>
      <c r="V23" s="146"/>
      <c r="W23" s="146"/>
      <c r="X23" s="146"/>
      <c r="Y23" s="146"/>
      <c r="Z23" s="146"/>
      <c r="AA23" s="146"/>
    </row>
    <row r="24" spans="1:27" ht="20.25" customHeight="1" x14ac:dyDescent="0.25">
      <c r="A24" s="4"/>
      <c r="B24" s="158" t="s">
        <v>448</v>
      </c>
      <c r="C24" s="410" t="s">
        <v>449</v>
      </c>
      <c r="D24" s="411"/>
      <c r="E24" s="160">
        <v>6.0000000000000001E-3</v>
      </c>
      <c r="F24" s="160">
        <v>6.0000000000000001E-3</v>
      </c>
      <c r="G24" s="4"/>
      <c r="H24" s="146"/>
      <c r="I24" s="146"/>
      <c r="J24" s="146"/>
      <c r="K24" s="146"/>
      <c r="L24" s="146"/>
      <c r="M24" s="146"/>
      <c r="N24" s="146"/>
      <c r="O24" s="146"/>
      <c r="P24" s="146"/>
      <c r="Q24" s="146"/>
      <c r="R24" s="146"/>
      <c r="S24" s="146"/>
      <c r="T24" s="146"/>
      <c r="U24" s="146"/>
      <c r="V24" s="146"/>
      <c r="W24" s="146"/>
      <c r="X24" s="146"/>
      <c r="Y24" s="146"/>
      <c r="Z24" s="146"/>
      <c r="AA24" s="146"/>
    </row>
    <row r="25" spans="1:27" ht="20.25" customHeight="1" x14ac:dyDescent="0.25">
      <c r="A25" s="4"/>
      <c r="B25" s="158" t="s">
        <v>450</v>
      </c>
      <c r="C25" s="410" t="s">
        <v>451</v>
      </c>
      <c r="D25" s="411"/>
      <c r="E25" s="160">
        <v>2.5000000000000001E-2</v>
      </c>
      <c r="F25" s="160">
        <v>2.5000000000000001E-2</v>
      </c>
      <c r="G25" s="4"/>
      <c r="H25" s="146"/>
      <c r="I25" s="146"/>
      <c r="J25" s="146"/>
      <c r="K25" s="146"/>
      <c r="L25" s="146"/>
      <c r="M25" s="146"/>
      <c r="N25" s="146"/>
      <c r="O25" s="146"/>
      <c r="P25" s="146"/>
      <c r="Q25" s="146"/>
      <c r="R25" s="146"/>
      <c r="S25" s="146"/>
      <c r="T25" s="146"/>
      <c r="U25" s="146"/>
      <c r="V25" s="146"/>
      <c r="W25" s="146"/>
      <c r="X25" s="146"/>
      <c r="Y25" s="146"/>
      <c r="Z25" s="146"/>
      <c r="AA25" s="146"/>
    </row>
    <row r="26" spans="1:27" ht="20.25" customHeight="1" x14ac:dyDescent="0.25">
      <c r="A26" s="4"/>
      <c r="B26" s="158" t="s">
        <v>452</v>
      </c>
      <c r="C26" s="410" t="s">
        <v>453</v>
      </c>
      <c r="D26" s="411"/>
      <c r="E26" s="160">
        <v>0.03</v>
      </c>
      <c r="F26" s="160">
        <v>0.03</v>
      </c>
      <c r="G26" s="4"/>
      <c r="H26" s="146"/>
      <c r="I26" s="146"/>
      <c r="J26" s="146"/>
      <c r="K26" s="146"/>
      <c r="L26" s="146"/>
      <c r="M26" s="146"/>
      <c r="N26" s="146"/>
      <c r="O26" s="146"/>
      <c r="P26" s="146"/>
      <c r="Q26" s="146"/>
      <c r="R26" s="146"/>
      <c r="S26" s="146"/>
      <c r="T26" s="146"/>
      <c r="U26" s="146"/>
      <c r="V26" s="146"/>
      <c r="W26" s="146"/>
      <c r="X26" s="146"/>
      <c r="Y26" s="146"/>
      <c r="Z26" s="146"/>
      <c r="AA26" s="146"/>
    </row>
    <row r="27" spans="1:27" ht="20.25" customHeight="1" x14ac:dyDescent="0.25">
      <c r="A27" s="4"/>
      <c r="B27" s="158" t="s">
        <v>454</v>
      </c>
      <c r="C27" s="410" t="s">
        <v>455</v>
      </c>
      <c r="D27" s="411"/>
      <c r="E27" s="160">
        <v>0.08</v>
      </c>
      <c r="F27" s="160">
        <v>0.08</v>
      </c>
      <c r="G27" s="4"/>
      <c r="H27" s="146"/>
      <c r="I27" s="146"/>
      <c r="J27" s="146"/>
      <c r="K27" s="146"/>
      <c r="L27" s="146"/>
      <c r="M27" s="146"/>
      <c r="N27" s="146"/>
      <c r="O27" s="146"/>
      <c r="P27" s="146"/>
      <c r="Q27" s="146"/>
      <c r="R27" s="146"/>
      <c r="S27" s="146"/>
      <c r="T27" s="146"/>
      <c r="U27" s="146"/>
      <c r="V27" s="146"/>
      <c r="W27" s="146"/>
      <c r="X27" s="146"/>
      <c r="Y27" s="146"/>
      <c r="Z27" s="146"/>
      <c r="AA27" s="146"/>
    </row>
    <row r="28" spans="1:27" ht="20.25" customHeight="1" x14ac:dyDescent="0.25">
      <c r="A28" s="4"/>
      <c r="B28" s="173" t="s">
        <v>456</v>
      </c>
      <c r="C28" s="410" t="s">
        <v>457</v>
      </c>
      <c r="D28" s="411"/>
      <c r="E28" s="174">
        <v>0.01</v>
      </c>
      <c r="F28" s="174">
        <v>0.01</v>
      </c>
      <c r="G28" s="4"/>
      <c r="H28" s="146"/>
      <c r="I28" s="146"/>
      <c r="J28" s="146"/>
      <c r="K28" s="146"/>
      <c r="L28" s="146"/>
      <c r="M28" s="146"/>
      <c r="N28" s="146"/>
      <c r="O28" s="146"/>
      <c r="P28" s="146"/>
      <c r="Q28" s="146"/>
      <c r="R28" s="146"/>
      <c r="S28" s="146"/>
      <c r="T28" s="146"/>
      <c r="U28" s="146"/>
      <c r="V28" s="146"/>
      <c r="W28" s="146"/>
      <c r="X28" s="146"/>
      <c r="Y28" s="146"/>
      <c r="Z28" s="146"/>
      <c r="AA28" s="146"/>
    </row>
    <row r="29" spans="1:27" ht="20.25" customHeight="1" x14ac:dyDescent="0.25">
      <c r="A29" s="4"/>
      <c r="B29" s="175" t="s">
        <v>458</v>
      </c>
      <c r="C29" s="434" t="s">
        <v>35</v>
      </c>
      <c r="D29" s="435"/>
      <c r="E29" s="176">
        <f t="shared" ref="E29:F29" si="0">SUBTOTAL(9,E20:E28)</f>
        <v>0.17799999999999999</v>
      </c>
      <c r="F29" s="176">
        <f t="shared" si="0"/>
        <v>0.17799999999999999</v>
      </c>
      <c r="G29" s="4"/>
      <c r="H29" s="146"/>
      <c r="I29" s="146"/>
      <c r="J29" s="146"/>
      <c r="K29" s="146"/>
      <c r="L29" s="146"/>
      <c r="M29" s="146"/>
      <c r="N29" s="146"/>
      <c r="O29" s="146"/>
      <c r="P29" s="146"/>
      <c r="Q29" s="146"/>
      <c r="R29" s="146"/>
      <c r="S29" s="146"/>
      <c r="T29" s="146"/>
      <c r="U29" s="146"/>
      <c r="V29" s="146"/>
      <c r="W29" s="146"/>
      <c r="X29" s="146"/>
      <c r="Y29" s="146"/>
      <c r="Z29" s="146"/>
      <c r="AA29" s="146"/>
    </row>
    <row r="30" spans="1:27" ht="6" customHeight="1" x14ac:dyDescent="0.25">
      <c r="A30" s="4"/>
      <c r="B30" s="65"/>
      <c r="C30" s="65"/>
      <c r="D30" s="65"/>
      <c r="E30" s="163"/>
      <c r="F30" s="163"/>
      <c r="G30" s="4"/>
      <c r="H30" s="146"/>
      <c r="I30" s="146"/>
      <c r="J30" s="146"/>
      <c r="K30" s="146"/>
      <c r="L30" s="146"/>
      <c r="M30" s="146"/>
      <c r="N30" s="146"/>
      <c r="O30" s="146"/>
      <c r="P30" s="146"/>
      <c r="Q30" s="146"/>
      <c r="R30" s="146"/>
      <c r="S30" s="146"/>
      <c r="T30" s="146"/>
      <c r="U30" s="146"/>
      <c r="V30" s="146"/>
      <c r="W30" s="146"/>
      <c r="X30" s="146"/>
      <c r="Y30" s="146"/>
      <c r="Z30" s="146"/>
      <c r="AA30" s="146"/>
    </row>
    <row r="31" spans="1:27" ht="20.25" customHeight="1" x14ac:dyDescent="0.25">
      <c r="A31" s="4"/>
      <c r="B31" s="342" t="s">
        <v>459</v>
      </c>
      <c r="C31" s="407"/>
      <c r="D31" s="412"/>
      <c r="E31" s="407"/>
      <c r="F31" s="407"/>
      <c r="G31" s="4"/>
      <c r="H31" s="146"/>
      <c r="I31" s="146"/>
      <c r="J31" s="146"/>
      <c r="K31" s="146"/>
      <c r="L31" s="146"/>
      <c r="M31" s="146"/>
      <c r="N31" s="146"/>
      <c r="O31" s="146"/>
      <c r="P31" s="146"/>
      <c r="Q31" s="146"/>
      <c r="R31" s="146"/>
      <c r="S31" s="146"/>
      <c r="T31" s="146"/>
      <c r="U31" s="146"/>
      <c r="V31" s="146"/>
      <c r="W31" s="146"/>
      <c r="X31" s="146"/>
      <c r="Y31" s="146"/>
      <c r="Z31" s="146"/>
      <c r="AA31" s="146"/>
    </row>
    <row r="32" spans="1:27" ht="20.25" customHeight="1" x14ac:dyDescent="0.25">
      <c r="A32" s="4"/>
      <c r="B32" s="171" t="s">
        <v>460</v>
      </c>
      <c r="C32" s="410" t="s">
        <v>461</v>
      </c>
      <c r="D32" s="411"/>
      <c r="E32" s="160">
        <v>0.1797</v>
      </c>
      <c r="F32" s="158" t="s">
        <v>462</v>
      </c>
      <c r="G32" s="4"/>
      <c r="H32" s="146"/>
      <c r="I32" s="146"/>
      <c r="J32" s="146"/>
      <c r="K32" s="146"/>
      <c r="L32" s="146"/>
      <c r="M32" s="146"/>
      <c r="N32" s="146"/>
      <c r="O32" s="146"/>
      <c r="P32" s="146"/>
      <c r="Q32" s="146"/>
      <c r="R32" s="146"/>
      <c r="S32" s="146"/>
      <c r="T32" s="146"/>
      <c r="U32" s="146"/>
      <c r="V32" s="146"/>
      <c r="W32" s="146"/>
      <c r="X32" s="146"/>
      <c r="Y32" s="146"/>
      <c r="Z32" s="146"/>
      <c r="AA32" s="146"/>
    </row>
    <row r="33" spans="1:27" ht="20.25" customHeight="1" x14ac:dyDescent="0.25">
      <c r="A33" s="4"/>
      <c r="B33" s="158" t="s">
        <v>463</v>
      </c>
      <c r="C33" s="410" t="s">
        <v>464</v>
      </c>
      <c r="D33" s="411"/>
      <c r="E33" s="160">
        <v>4.6899999999999997E-2</v>
      </c>
      <c r="F33" s="158" t="s">
        <v>462</v>
      </c>
      <c r="G33" s="4"/>
      <c r="H33" s="146"/>
      <c r="I33" s="146"/>
      <c r="J33" s="146"/>
      <c r="K33" s="146"/>
      <c r="L33" s="146"/>
      <c r="M33" s="146"/>
      <c r="N33" s="146"/>
      <c r="O33" s="146"/>
      <c r="P33" s="146"/>
      <c r="Q33" s="146"/>
      <c r="R33" s="146"/>
      <c r="S33" s="146"/>
      <c r="T33" s="146"/>
      <c r="U33" s="146"/>
      <c r="V33" s="146"/>
      <c r="W33" s="146"/>
      <c r="X33" s="146"/>
      <c r="Y33" s="146"/>
      <c r="Z33" s="146"/>
      <c r="AA33" s="146"/>
    </row>
    <row r="34" spans="1:27" ht="20.25" customHeight="1" x14ac:dyDescent="0.25">
      <c r="A34" s="4"/>
      <c r="B34" s="158" t="s">
        <v>465</v>
      </c>
      <c r="C34" s="410" t="s">
        <v>466</v>
      </c>
      <c r="D34" s="411"/>
      <c r="E34" s="160">
        <v>8.5000000000000006E-3</v>
      </c>
      <c r="F34" s="160">
        <v>6.4000000000000003E-3</v>
      </c>
      <c r="G34" s="4"/>
      <c r="H34" s="146"/>
      <c r="I34" s="146"/>
      <c r="J34" s="146"/>
      <c r="K34" s="146"/>
      <c r="L34" s="146"/>
      <c r="M34" s="146"/>
      <c r="N34" s="146"/>
      <c r="O34" s="146"/>
      <c r="P34" s="146"/>
      <c r="Q34" s="146"/>
      <c r="R34" s="146"/>
      <c r="S34" s="146"/>
      <c r="T34" s="146"/>
      <c r="U34" s="146"/>
      <c r="V34" s="146"/>
      <c r="W34" s="146"/>
      <c r="X34" s="146"/>
      <c r="Y34" s="146"/>
      <c r="Z34" s="146"/>
      <c r="AA34" s="146"/>
    </row>
    <row r="35" spans="1:27" ht="20.25" customHeight="1" x14ac:dyDescent="0.25">
      <c r="A35" s="4"/>
      <c r="B35" s="158" t="s">
        <v>467</v>
      </c>
      <c r="C35" s="410" t="s">
        <v>468</v>
      </c>
      <c r="D35" s="411"/>
      <c r="E35" s="160">
        <v>0.1106</v>
      </c>
      <c r="F35" s="160">
        <v>8.3299999999999999E-2</v>
      </c>
      <c r="G35" s="4"/>
      <c r="H35" s="146"/>
      <c r="I35" s="146"/>
      <c r="J35" s="146"/>
      <c r="K35" s="146"/>
      <c r="L35" s="146"/>
      <c r="M35" s="146"/>
      <c r="N35" s="146"/>
      <c r="O35" s="146"/>
      <c r="P35" s="146"/>
      <c r="Q35" s="146"/>
      <c r="R35" s="146"/>
      <c r="S35" s="146"/>
      <c r="T35" s="146"/>
      <c r="U35" s="146"/>
      <c r="V35" s="146"/>
      <c r="W35" s="146"/>
      <c r="X35" s="146"/>
      <c r="Y35" s="146"/>
      <c r="Z35" s="146"/>
      <c r="AA35" s="146"/>
    </row>
    <row r="36" spans="1:27" ht="20.25" customHeight="1" x14ac:dyDescent="0.25">
      <c r="A36" s="4"/>
      <c r="B36" s="158" t="s">
        <v>469</v>
      </c>
      <c r="C36" s="410" t="s">
        <v>470</v>
      </c>
      <c r="D36" s="411"/>
      <c r="E36" s="160">
        <v>5.9999999999999995E-4</v>
      </c>
      <c r="F36" s="160">
        <v>4.0000000000000002E-4</v>
      </c>
      <c r="G36" s="4"/>
      <c r="H36" s="146"/>
      <c r="I36" s="146"/>
      <c r="J36" s="146"/>
      <c r="K36" s="146"/>
      <c r="L36" s="146"/>
      <c r="M36" s="146"/>
      <c r="N36" s="146"/>
      <c r="O36" s="146"/>
      <c r="P36" s="146"/>
      <c r="Q36" s="146"/>
      <c r="R36" s="146"/>
      <c r="S36" s="146"/>
      <c r="T36" s="146"/>
      <c r="U36" s="146"/>
      <c r="V36" s="146"/>
      <c r="W36" s="146"/>
      <c r="X36" s="146"/>
      <c r="Y36" s="146"/>
      <c r="Z36" s="146"/>
      <c r="AA36" s="146"/>
    </row>
    <row r="37" spans="1:27" ht="20.25" customHeight="1" x14ac:dyDescent="0.25">
      <c r="A37" s="4"/>
      <c r="B37" s="158" t="s">
        <v>471</v>
      </c>
      <c r="C37" s="410" t="s">
        <v>472</v>
      </c>
      <c r="D37" s="411"/>
      <c r="E37" s="160">
        <v>7.4000000000000003E-3</v>
      </c>
      <c r="F37" s="160">
        <v>5.5999999999999999E-3</v>
      </c>
      <c r="G37" s="4"/>
      <c r="H37" s="146"/>
      <c r="I37" s="146"/>
      <c r="J37" s="146"/>
      <c r="K37" s="146"/>
      <c r="L37" s="146"/>
      <c r="M37" s="146"/>
      <c r="N37" s="146"/>
      <c r="O37" s="146"/>
      <c r="P37" s="146"/>
      <c r="Q37" s="146"/>
      <c r="R37" s="146"/>
      <c r="S37" s="146"/>
      <c r="T37" s="146"/>
      <c r="U37" s="146"/>
      <c r="V37" s="146"/>
      <c r="W37" s="146"/>
      <c r="X37" s="146"/>
      <c r="Y37" s="146"/>
      <c r="Z37" s="146"/>
      <c r="AA37" s="146"/>
    </row>
    <row r="38" spans="1:27" ht="20.25" customHeight="1" x14ac:dyDescent="0.25">
      <c r="A38" s="4"/>
      <c r="B38" s="158" t="s">
        <v>473</v>
      </c>
      <c r="C38" s="410" t="s">
        <v>474</v>
      </c>
      <c r="D38" s="411"/>
      <c r="E38" s="160">
        <v>1.35E-2</v>
      </c>
      <c r="F38" s="158" t="s">
        <v>462</v>
      </c>
      <c r="G38" s="4"/>
      <c r="H38" s="146"/>
      <c r="I38" s="146"/>
      <c r="J38" s="146"/>
      <c r="K38" s="146"/>
      <c r="L38" s="146"/>
      <c r="M38" s="146"/>
      <c r="N38" s="146"/>
      <c r="O38" s="146"/>
      <c r="P38" s="146"/>
      <c r="Q38" s="146"/>
      <c r="R38" s="146"/>
      <c r="S38" s="146"/>
      <c r="T38" s="146"/>
      <c r="U38" s="146"/>
      <c r="V38" s="146"/>
      <c r="W38" s="146"/>
      <c r="X38" s="146"/>
      <c r="Y38" s="146"/>
      <c r="Z38" s="146"/>
      <c r="AA38" s="146"/>
    </row>
    <row r="39" spans="1:27" ht="20.25" customHeight="1" x14ac:dyDescent="0.25">
      <c r="A39" s="4"/>
      <c r="B39" s="158" t="s">
        <v>475</v>
      </c>
      <c r="C39" s="410" t="s">
        <v>476</v>
      </c>
      <c r="D39" s="411"/>
      <c r="E39" s="160">
        <v>1E-3</v>
      </c>
      <c r="F39" s="160">
        <v>8.0000000000000004E-4</v>
      </c>
      <c r="G39" s="4"/>
      <c r="H39" s="146"/>
      <c r="I39" s="146"/>
      <c r="J39" s="146"/>
      <c r="K39" s="146"/>
      <c r="L39" s="146"/>
      <c r="M39" s="146"/>
      <c r="N39" s="146"/>
      <c r="O39" s="146"/>
      <c r="P39" s="146"/>
      <c r="Q39" s="146"/>
      <c r="R39" s="146"/>
      <c r="S39" s="146"/>
      <c r="T39" s="146"/>
      <c r="U39" s="146"/>
      <c r="V39" s="146"/>
      <c r="W39" s="146"/>
      <c r="X39" s="146"/>
      <c r="Y39" s="146"/>
      <c r="Z39" s="146"/>
      <c r="AA39" s="146"/>
    </row>
    <row r="40" spans="1:27" ht="20.25" customHeight="1" x14ac:dyDescent="0.25">
      <c r="A40" s="4"/>
      <c r="B40" s="158" t="s">
        <v>477</v>
      </c>
      <c r="C40" s="410" t="s">
        <v>478</v>
      </c>
      <c r="D40" s="411"/>
      <c r="E40" s="160">
        <v>0.1174</v>
      </c>
      <c r="F40" s="160">
        <v>8.8499999999999995E-2</v>
      </c>
      <c r="G40" s="4"/>
      <c r="H40" s="146"/>
      <c r="I40" s="146"/>
      <c r="J40" s="146"/>
      <c r="K40" s="146"/>
      <c r="L40" s="146"/>
      <c r="M40" s="146"/>
      <c r="N40" s="146"/>
      <c r="O40" s="146"/>
      <c r="P40" s="146"/>
      <c r="Q40" s="146"/>
      <c r="R40" s="146"/>
      <c r="S40" s="146"/>
      <c r="T40" s="146"/>
      <c r="U40" s="146"/>
      <c r="V40" s="146"/>
      <c r="W40" s="146"/>
      <c r="X40" s="146"/>
      <c r="Y40" s="146"/>
      <c r="Z40" s="146"/>
      <c r="AA40" s="146"/>
    </row>
    <row r="41" spans="1:27" ht="20.25" customHeight="1" x14ac:dyDescent="0.25">
      <c r="A41" s="4"/>
      <c r="B41" s="173" t="s">
        <v>479</v>
      </c>
      <c r="C41" s="410" t="s">
        <v>480</v>
      </c>
      <c r="D41" s="411"/>
      <c r="E41" s="174">
        <v>4.0000000000000002E-4</v>
      </c>
      <c r="F41" s="174">
        <v>2.9999999999999997E-4</v>
      </c>
      <c r="G41" s="4"/>
      <c r="H41" s="146"/>
      <c r="I41" s="146"/>
      <c r="J41" s="146"/>
      <c r="K41" s="146"/>
      <c r="L41" s="146"/>
      <c r="M41" s="146"/>
      <c r="N41" s="146"/>
      <c r="O41" s="146"/>
      <c r="P41" s="146"/>
      <c r="Q41" s="146"/>
      <c r="R41" s="146"/>
      <c r="S41" s="146"/>
      <c r="T41" s="146"/>
      <c r="U41" s="146"/>
      <c r="V41" s="146"/>
      <c r="W41" s="146"/>
      <c r="X41" s="146"/>
      <c r="Y41" s="146"/>
      <c r="Z41" s="146"/>
      <c r="AA41" s="146"/>
    </row>
    <row r="42" spans="1:27" ht="20.25" customHeight="1" x14ac:dyDescent="0.25">
      <c r="A42" s="4"/>
      <c r="B42" s="175" t="s">
        <v>481</v>
      </c>
      <c r="C42" s="434" t="s">
        <v>35</v>
      </c>
      <c r="D42" s="435"/>
      <c r="E42" s="176">
        <f t="shared" ref="E42:F42" si="1">SUBTOTAL(9,E32:E41)</f>
        <v>0.48599999999999999</v>
      </c>
      <c r="F42" s="176">
        <f t="shared" si="1"/>
        <v>0.18529999999999999</v>
      </c>
      <c r="G42" s="4"/>
      <c r="H42" s="146"/>
      <c r="I42" s="146"/>
      <c r="J42" s="146"/>
      <c r="K42" s="146"/>
      <c r="L42" s="146"/>
      <c r="M42" s="146"/>
      <c r="N42" s="146"/>
      <c r="O42" s="146"/>
      <c r="P42" s="146"/>
      <c r="Q42" s="146"/>
      <c r="R42" s="146"/>
      <c r="S42" s="146"/>
      <c r="T42" s="146"/>
      <c r="U42" s="146"/>
      <c r="V42" s="146"/>
      <c r="W42" s="146"/>
      <c r="X42" s="146"/>
      <c r="Y42" s="146"/>
      <c r="Z42" s="146"/>
      <c r="AA42" s="146"/>
    </row>
    <row r="43" spans="1:27" ht="6" customHeight="1" x14ac:dyDescent="0.25">
      <c r="A43" s="4"/>
      <c r="B43" s="65"/>
      <c r="C43" s="65"/>
      <c r="D43" s="65"/>
      <c r="E43" s="163"/>
      <c r="F43" s="163"/>
      <c r="G43" s="4"/>
      <c r="H43" s="146"/>
      <c r="I43" s="146"/>
      <c r="J43" s="146"/>
      <c r="K43" s="146"/>
      <c r="L43" s="146"/>
      <c r="M43" s="146"/>
      <c r="N43" s="146"/>
      <c r="O43" s="146"/>
      <c r="P43" s="146"/>
      <c r="Q43" s="146"/>
      <c r="R43" s="146"/>
      <c r="S43" s="146"/>
      <c r="T43" s="146"/>
      <c r="U43" s="146"/>
      <c r="V43" s="146"/>
      <c r="W43" s="146"/>
      <c r="X43" s="146"/>
      <c r="Y43" s="146"/>
      <c r="Z43" s="146"/>
      <c r="AA43" s="146"/>
    </row>
    <row r="44" spans="1:27" ht="20.25" customHeight="1" x14ac:dyDescent="0.25">
      <c r="A44" s="4"/>
      <c r="B44" s="342" t="s">
        <v>482</v>
      </c>
      <c r="C44" s="407"/>
      <c r="D44" s="412"/>
      <c r="E44" s="407"/>
      <c r="F44" s="407"/>
      <c r="G44" s="4"/>
      <c r="H44" s="146"/>
      <c r="I44" s="146"/>
      <c r="J44" s="146"/>
      <c r="K44" s="146"/>
      <c r="L44" s="146"/>
      <c r="M44" s="146"/>
      <c r="N44" s="146"/>
      <c r="O44" s="146"/>
      <c r="P44" s="146"/>
      <c r="Q44" s="146"/>
      <c r="R44" s="146"/>
      <c r="S44" s="146"/>
      <c r="T44" s="146"/>
      <c r="U44" s="146"/>
      <c r="V44" s="146"/>
      <c r="W44" s="146"/>
      <c r="X44" s="146"/>
      <c r="Y44" s="146"/>
      <c r="Z44" s="146"/>
      <c r="AA44" s="146"/>
    </row>
    <row r="45" spans="1:27" ht="20.25" customHeight="1" x14ac:dyDescent="0.25">
      <c r="A45" s="4"/>
      <c r="B45" s="171" t="s">
        <v>483</v>
      </c>
      <c r="C45" s="410" t="s">
        <v>484</v>
      </c>
      <c r="D45" s="411"/>
      <c r="E45" s="160">
        <v>4.8300000000000003E-2</v>
      </c>
      <c r="F45" s="160">
        <v>3.6400000000000002E-2</v>
      </c>
      <c r="G45" s="4"/>
      <c r="H45" s="146"/>
      <c r="I45" s="146"/>
      <c r="J45" s="146"/>
      <c r="K45" s="146"/>
      <c r="L45" s="146"/>
      <c r="M45" s="146"/>
      <c r="N45" s="146"/>
      <c r="O45" s="146"/>
      <c r="P45" s="146"/>
      <c r="Q45" s="146"/>
      <c r="R45" s="146"/>
      <c r="S45" s="146"/>
      <c r="T45" s="146"/>
      <c r="U45" s="146"/>
      <c r="V45" s="146"/>
      <c r="W45" s="146"/>
      <c r="X45" s="146"/>
      <c r="Y45" s="146"/>
      <c r="Z45" s="146"/>
      <c r="AA45" s="146"/>
    </row>
    <row r="46" spans="1:27" ht="20.25" customHeight="1" x14ac:dyDescent="0.25">
      <c r="A46" s="4"/>
      <c r="B46" s="158" t="s">
        <v>485</v>
      </c>
      <c r="C46" s="410" t="s">
        <v>486</v>
      </c>
      <c r="D46" s="411"/>
      <c r="E46" s="160">
        <v>1.1000000000000001E-3</v>
      </c>
      <c r="F46" s="160">
        <v>8.9999999999999998E-4</v>
      </c>
      <c r="G46" s="4"/>
      <c r="H46" s="146"/>
      <c r="I46" s="146"/>
      <c r="J46" s="146"/>
      <c r="K46" s="146"/>
      <c r="L46" s="146"/>
      <c r="M46" s="146"/>
      <c r="N46" s="146"/>
      <c r="O46" s="146"/>
      <c r="P46" s="146"/>
      <c r="Q46" s="146"/>
      <c r="R46" s="146"/>
      <c r="S46" s="146"/>
      <c r="T46" s="146"/>
      <c r="U46" s="146"/>
      <c r="V46" s="146"/>
      <c r="W46" s="146"/>
      <c r="X46" s="146"/>
      <c r="Y46" s="146"/>
      <c r="Z46" s="146"/>
      <c r="AA46" s="146"/>
    </row>
    <row r="47" spans="1:27" ht="20.25" customHeight="1" x14ac:dyDescent="0.25">
      <c r="A47" s="4"/>
      <c r="B47" s="158" t="s">
        <v>487</v>
      </c>
      <c r="C47" s="410" t="s">
        <v>488</v>
      </c>
      <c r="D47" s="411"/>
      <c r="E47" s="160">
        <v>2.3400000000000001E-2</v>
      </c>
      <c r="F47" s="160">
        <v>1.7600000000000001E-2</v>
      </c>
      <c r="G47" s="4"/>
      <c r="H47" s="146"/>
      <c r="I47" s="146"/>
      <c r="J47" s="146"/>
      <c r="K47" s="146"/>
      <c r="L47" s="146"/>
      <c r="M47" s="146"/>
      <c r="N47" s="146"/>
      <c r="O47" s="146"/>
      <c r="P47" s="146"/>
      <c r="Q47" s="146"/>
      <c r="R47" s="146"/>
      <c r="S47" s="146"/>
      <c r="T47" s="146"/>
      <c r="U47" s="146"/>
      <c r="V47" s="146"/>
      <c r="W47" s="146"/>
      <c r="X47" s="146"/>
      <c r="Y47" s="146"/>
      <c r="Z47" s="146"/>
      <c r="AA47" s="146"/>
    </row>
    <row r="48" spans="1:27" ht="20.25" customHeight="1" x14ac:dyDescent="0.25">
      <c r="A48" s="4"/>
      <c r="B48" s="158" t="s">
        <v>489</v>
      </c>
      <c r="C48" s="410" t="s">
        <v>490</v>
      </c>
      <c r="D48" s="411"/>
      <c r="E48" s="160">
        <v>2.6499999999999999E-2</v>
      </c>
      <c r="F48" s="160">
        <v>0.02</v>
      </c>
      <c r="G48" s="4"/>
      <c r="H48" s="146"/>
      <c r="I48" s="146"/>
      <c r="J48" s="146"/>
      <c r="K48" s="146"/>
      <c r="L48" s="146"/>
      <c r="M48" s="146"/>
      <c r="N48" s="146"/>
      <c r="O48" s="146"/>
      <c r="P48" s="146"/>
      <c r="Q48" s="146"/>
      <c r="R48" s="146"/>
      <c r="S48" s="146"/>
      <c r="T48" s="146"/>
      <c r="U48" s="146"/>
      <c r="V48" s="146"/>
      <c r="W48" s="146"/>
      <c r="X48" s="146"/>
      <c r="Y48" s="146"/>
      <c r="Z48" s="146"/>
      <c r="AA48" s="146"/>
    </row>
    <row r="49" spans="1:27" ht="20.25" customHeight="1" x14ac:dyDescent="0.25">
      <c r="A49" s="4"/>
      <c r="B49" s="173" t="s">
        <v>491</v>
      </c>
      <c r="C49" s="410" t="s">
        <v>492</v>
      </c>
      <c r="D49" s="411"/>
      <c r="E49" s="174">
        <v>4.1000000000000003E-3</v>
      </c>
      <c r="F49" s="174">
        <v>3.0999999999999999E-3</v>
      </c>
      <c r="G49" s="4"/>
      <c r="H49" s="146"/>
      <c r="I49" s="146"/>
      <c r="J49" s="146"/>
      <c r="K49" s="146"/>
      <c r="L49" s="146"/>
      <c r="M49" s="146"/>
      <c r="N49" s="146"/>
      <c r="O49" s="146"/>
      <c r="P49" s="146"/>
      <c r="Q49" s="146"/>
      <c r="R49" s="146"/>
      <c r="S49" s="146"/>
      <c r="T49" s="146"/>
      <c r="U49" s="146"/>
      <c r="V49" s="146"/>
      <c r="W49" s="146"/>
      <c r="X49" s="146"/>
      <c r="Y49" s="146"/>
      <c r="Z49" s="146"/>
      <c r="AA49" s="146"/>
    </row>
    <row r="50" spans="1:27" ht="20.25" customHeight="1" x14ac:dyDescent="0.25">
      <c r="A50" s="4"/>
      <c r="B50" s="175" t="s">
        <v>493</v>
      </c>
      <c r="C50" s="430" t="s">
        <v>35</v>
      </c>
      <c r="D50" s="431"/>
      <c r="E50" s="176">
        <f t="shared" ref="E50:F50" si="2">SUBTOTAL(9,E45:E49)</f>
        <v>0.10340000000000001</v>
      </c>
      <c r="F50" s="176">
        <f t="shared" si="2"/>
        <v>7.8E-2</v>
      </c>
      <c r="G50" s="4"/>
      <c r="H50" s="146"/>
      <c r="I50" s="146"/>
      <c r="J50" s="146"/>
      <c r="K50" s="146"/>
      <c r="L50" s="146"/>
      <c r="M50" s="146"/>
      <c r="N50" s="146"/>
      <c r="O50" s="146"/>
      <c r="P50" s="146"/>
      <c r="Q50" s="146"/>
      <c r="R50" s="146"/>
      <c r="S50" s="146"/>
      <c r="T50" s="146"/>
      <c r="U50" s="146"/>
      <c r="V50" s="146"/>
      <c r="W50" s="146"/>
      <c r="X50" s="146"/>
      <c r="Y50" s="146"/>
      <c r="Z50" s="146"/>
      <c r="AA50" s="146"/>
    </row>
    <row r="51" spans="1:27" ht="6" customHeight="1" x14ac:dyDescent="0.25">
      <c r="A51" s="4"/>
      <c r="B51" s="65"/>
      <c r="C51" s="65"/>
      <c r="D51" s="65"/>
      <c r="E51" s="163"/>
      <c r="F51" s="163"/>
      <c r="G51" s="4"/>
      <c r="H51" s="146"/>
      <c r="I51" s="146"/>
      <c r="J51" s="146"/>
      <c r="K51" s="146"/>
      <c r="L51" s="146"/>
      <c r="M51" s="146"/>
      <c r="N51" s="146"/>
      <c r="O51" s="146"/>
      <c r="P51" s="146"/>
      <c r="Q51" s="146"/>
      <c r="R51" s="146"/>
      <c r="S51" s="146"/>
      <c r="T51" s="146"/>
      <c r="U51" s="146"/>
      <c r="V51" s="146"/>
      <c r="W51" s="146"/>
      <c r="X51" s="146"/>
      <c r="Y51" s="146"/>
      <c r="Z51" s="146"/>
      <c r="AA51" s="146"/>
    </row>
    <row r="52" spans="1:27" ht="20.25" customHeight="1" x14ac:dyDescent="0.25">
      <c r="A52" s="4"/>
      <c r="B52" s="342" t="s">
        <v>494</v>
      </c>
      <c r="C52" s="407"/>
      <c r="D52" s="412"/>
      <c r="E52" s="407"/>
      <c r="F52" s="407"/>
      <c r="G52" s="4"/>
      <c r="H52" s="146"/>
      <c r="I52" s="146"/>
      <c r="J52" s="146"/>
      <c r="K52" s="146"/>
      <c r="L52" s="146"/>
      <c r="M52" s="146"/>
      <c r="N52" s="146"/>
      <c r="O52" s="146"/>
      <c r="P52" s="146"/>
      <c r="Q52" s="146"/>
      <c r="R52" s="146"/>
      <c r="S52" s="146"/>
      <c r="T52" s="146"/>
      <c r="U52" s="146"/>
      <c r="V52" s="146"/>
      <c r="W52" s="146"/>
      <c r="X52" s="146"/>
      <c r="Y52" s="146"/>
      <c r="Z52" s="146"/>
      <c r="AA52" s="146"/>
    </row>
    <row r="53" spans="1:27" ht="20.25" customHeight="1" x14ac:dyDescent="0.25">
      <c r="A53" s="4"/>
      <c r="B53" s="171" t="s">
        <v>495</v>
      </c>
      <c r="C53" s="410" t="s">
        <v>496</v>
      </c>
      <c r="D53" s="411"/>
      <c r="E53" s="160">
        <f t="shared" ref="E53:F53" si="3">ROUND(E42*E29,4)</f>
        <v>8.6499999999999994E-2</v>
      </c>
      <c r="F53" s="160">
        <f t="shared" si="3"/>
        <v>3.3000000000000002E-2</v>
      </c>
      <c r="G53" s="4"/>
      <c r="H53" s="146"/>
      <c r="I53" s="146"/>
      <c r="J53" s="146"/>
      <c r="K53" s="146"/>
      <c r="L53" s="146"/>
      <c r="M53" s="146"/>
      <c r="N53" s="146"/>
      <c r="O53" s="146"/>
      <c r="P53" s="146"/>
      <c r="Q53" s="146"/>
      <c r="R53" s="146"/>
      <c r="S53" s="146"/>
      <c r="T53" s="146"/>
      <c r="U53" s="146"/>
      <c r="V53" s="146"/>
      <c r="W53" s="146"/>
      <c r="X53" s="146"/>
      <c r="Y53" s="146"/>
      <c r="Z53" s="146"/>
      <c r="AA53" s="146"/>
    </row>
    <row r="54" spans="1:27" ht="28.8" customHeight="1" x14ac:dyDescent="0.25">
      <c r="A54" s="4"/>
      <c r="B54" s="173" t="s">
        <v>497</v>
      </c>
      <c r="C54" s="410" t="s">
        <v>498</v>
      </c>
      <c r="D54" s="411"/>
      <c r="E54" s="160">
        <f t="shared" ref="E54:F54" si="4">E29*E46+E27*E45</f>
        <v>4.1000000000000003E-3</v>
      </c>
      <c r="F54" s="160">
        <f t="shared" si="4"/>
        <v>3.0999999999999999E-3</v>
      </c>
      <c r="G54" s="4"/>
      <c r="H54" s="146"/>
      <c r="I54" s="146"/>
      <c r="J54" s="146"/>
      <c r="K54" s="146"/>
      <c r="L54" s="146"/>
      <c r="M54" s="146"/>
      <c r="N54" s="146"/>
      <c r="O54" s="146"/>
      <c r="P54" s="146"/>
      <c r="Q54" s="146"/>
      <c r="R54" s="146"/>
      <c r="S54" s="146"/>
      <c r="T54" s="146"/>
      <c r="U54" s="146"/>
      <c r="V54" s="146"/>
      <c r="W54" s="146"/>
      <c r="X54" s="146"/>
      <c r="Y54" s="146"/>
      <c r="Z54" s="146"/>
      <c r="AA54" s="146"/>
    </row>
    <row r="55" spans="1:27" ht="20.25" customHeight="1" x14ac:dyDescent="0.25">
      <c r="A55" s="4"/>
      <c r="B55" s="177" t="s">
        <v>499</v>
      </c>
      <c r="C55" s="430" t="s">
        <v>35</v>
      </c>
      <c r="D55" s="431"/>
      <c r="E55" s="178">
        <f>SUBTOTAL(9,E53:E54)</f>
        <v>9.06E-2</v>
      </c>
      <c r="F55" s="178">
        <f>ROUND(SUBTOTAL(9,F53:F54),4)</f>
        <v>3.61E-2</v>
      </c>
      <c r="G55" s="4"/>
      <c r="H55" s="146"/>
      <c r="I55" s="146"/>
      <c r="J55" s="146"/>
      <c r="K55" s="146"/>
      <c r="L55" s="146"/>
      <c r="M55" s="146"/>
      <c r="N55" s="146"/>
      <c r="O55" s="146"/>
      <c r="P55" s="146"/>
      <c r="Q55" s="146"/>
      <c r="R55" s="146"/>
      <c r="S55" s="146"/>
      <c r="T55" s="146"/>
      <c r="U55" s="146"/>
      <c r="V55" s="146"/>
      <c r="W55" s="146"/>
      <c r="X55" s="146"/>
      <c r="Y55" s="146"/>
      <c r="Z55" s="146"/>
      <c r="AA55" s="146"/>
    </row>
    <row r="56" spans="1:27" ht="26.25" customHeight="1" x14ac:dyDescent="0.25">
      <c r="A56" s="4"/>
      <c r="B56" s="342" t="s">
        <v>500</v>
      </c>
      <c r="C56" s="432"/>
      <c r="D56" s="433"/>
      <c r="E56" s="70">
        <f t="shared" ref="E56:F56" si="5">SUM(E29,E42,E50,E55)</f>
        <v>0.85799999999999998</v>
      </c>
      <c r="F56" s="70">
        <f t="shared" si="5"/>
        <v>0.47739999999999999</v>
      </c>
      <c r="G56" s="4"/>
      <c r="H56" s="146"/>
      <c r="I56" s="146"/>
      <c r="J56" s="146"/>
      <c r="K56" s="146"/>
      <c r="L56" s="146"/>
      <c r="M56" s="146"/>
      <c r="N56" s="146"/>
      <c r="O56" s="146"/>
      <c r="P56" s="146"/>
      <c r="Q56" s="146"/>
      <c r="R56" s="146"/>
      <c r="S56" s="146"/>
      <c r="T56" s="146"/>
      <c r="U56" s="146"/>
      <c r="V56" s="146"/>
      <c r="W56" s="146"/>
      <c r="X56" s="146"/>
      <c r="Y56" s="146"/>
      <c r="Z56" s="146"/>
      <c r="AA56" s="146"/>
    </row>
    <row r="57" spans="1:27" ht="20.25" customHeight="1" x14ac:dyDescent="0.25">
      <c r="A57" s="4"/>
      <c r="B57" s="4"/>
      <c r="C57" s="4"/>
      <c r="D57" s="4"/>
      <c r="E57" s="4"/>
      <c r="F57" s="4"/>
      <c r="G57" s="4"/>
      <c r="H57" s="146"/>
      <c r="I57" s="146"/>
      <c r="J57" s="146"/>
      <c r="K57" s="146"/>
      <c r="L57" s="146"/>
      <c r="M57" s="146"/>
      <c r="N57" s="146"/>
      <c r="O57" s="146"/>
      <c r="P57" s="146"/>
      <c r="Q57" s="146"/>
      <c r="R57" s="146"/>
      <c r="S57" s="146"/>
      <c r="T57" s="146"/>
      <c r="U57" s="146"/>
      <c r="V57" s="146"/>
      <c r="W57" s="146"/>
      <c r="X57" s="146"/>
      <c r="Y57" s="146"/>
      <c r="Z57" s="146"/>
      <c r="AA57" s="146"/>
    </row>
    <row r="58" spans="1:27" ht="20.25" customHeight="1" x14ac:dyDescent="0.25">
      <c r="A58" s="4"/>
      <c r="B58" s="179" t="s">
        <v>424</v>
      </c>
      <c r="C58" s="164"/>
      <c r="D58" s="164"/>
      <c r="E58" s="166"/>
      <c r="F58" s="166"/>
      <c r="G58" s="4"/>
      <c r="H58" s="146"/>
      <c r="I58" s="146"/>
      <c r="J58" s="146"/>
      <c r="K58" s="146"/>
      <c r="L58" s="146"/>
      <c r="M58" s="146"/>
      <c r="N58" s="146"/>
      <c r="O58" s="146"/>
      <c r="P58" s="146"/>
      <c r="Q58" s="146"/>
      <c r="R58" s="146"/>
      <c r="S58" s="146"/>
      <c r="T58" s="146"/>
      <c r="U58" s="146"/>
      <c r="V58" s="146"/>
      <c r="W58" s="146"/>
      <c r="X58" s="146"/>
      <c r="Y58" s="146"/>
      <c r="Z58" s="146"/>
      <c r="AA58" s="146"/>
    </row>
    <row r="59" spans="1:27" ht="20.25" customHeight="1" x14ac:dyDescent="0.25">
      <c r="A59" s="4"/>
      <c r="B59" s="32" t="s">
        <v>425</v>
      </c>
      <c r="C59" s="408" t="s">
        <v>971</v>
      </c>
      <c r="D59" s="408"/>
      <c r="E59" s="331"/>
      <c r="F59" s="331"/>
      <c r="G59" s="331"/>
      <c r="H59" s="4"/>
      <c r="I59" s="146"/>
      <c r="J59" s="146"/>
      <c r="K59" s="146"/>
      <c r="L59" s="146"/>
      <c r="M59" s="146"/>
      <c r="N59" s="146"/>
      <c r="O59" s="146"/>
      <c r="P59" s="146"/>
      <c r="Q59" s="146"/>
      <c r="R59" s="146"/>
      <c r="S59" s="146"/>
      <c r="T59" s="146"/>
      <c r="U59" s="146"/>
      <c r="V59" s="146"/>
      <c r="W59" s="146"/>
      <c r="X59" s="146"/>
      <c r="Y59" s="146"/>
      <c r="Z59" s="146"/>
      <c r="AA59" s="146"/>
    </row>
    <row r="60" spans="1:27" ht="20.25" customHeight="1" x14ac:dyDescent="0.25">
      <c r="A60" s="4"/>
      <c r="B60" s="32"/>
      <c r="C60" s="48"/>
      <c r="D60" s="48"/>
      <c r="E60" s="165"/>
      <c r="F60" s="165"/>
      <c r="G60" s="165"/>
      <c r="H60" s="4"/>
      <c r="I60" s="146"/>
      <c r="J60" s="146"/>
      <c r="K60" s="146"/>
      <c r="L60" s="146"/>
      <c r="M60" s="146"/>
      <c r="N60" s="146"/>
      <c r="O60" s="146"/>
      <c r="P60" s="146"/>
      <c r="Q60" s="146"/>
      <c r="R60" s="146"/>
      <c r="S60" s="146"/>
      <c r="T60" s="146"/>
      <c r="U60" s="146"/>
      <c r="V60" s="146"/>
      <c r="W60" s="146"/>
      <c r="X60" s="146"/>
      <c r="Y60" s="146"/>
      <c r="Z60" s="146"/>
      <c r="AA60" s="146"/>
    </row>
    <row r="61" spans="1:27" ht="20.25" customHeight="1" x14ac:dyDescent="0.25">
      <c r="A61" s="4"/>
      <c r="B61" s="179" t="s">
        <v>430</v>
      </c>
      <c r="C61" s="164"/>
      <c r="D61" s="164"/>
      <c r="E61" s="166"/>
      <c r="F61" s="166"/>
      <c r="G61" s="4"/>
      <c r="H61" s="146"/>
      <c r="I61" s="146"/>
      <c r="J61" s="146"/>
      <c r="K61" s="146"/>
      <c r="L61" s="146"/>
      <c r="M61" s="146"/>
      <c r="N61" s="146"/>
      <c r="O61" s="146"/>
      <c r="P61" s="146"/>
      <c r="Q61" s="146"/>
      <c r="R61" s="146"/>
      <c r="S61" s="146"/>
      <c r="T61" s="146"/>
      <c r="U61" s="146"/>
      <c r="V61" s="146"/>
      <c r="W61" s="146"/>
      <c r="X61" s="146"/>
      <c r="Y61" s="146"/>
      <c r="Z61" s="146"/>
      <c r="AA61" s="146"/>
    </row>
    <row r="62" spans="1:27" ht="20.25" customHeight="1" x14ac:dyDescent="0.25">
      <c r="A62" s="4"/>
      <c r="B62" s="32" t="s">
        <v>425</v>
      </c>
      <c r="C62" s="408" t="s">
        <v>431</v>
      </c>
      <c r="D62" s="408"/>
      <c r="E62" s="331"/>
      <c r="F62" s="331"/>
      <c r="G62" s="331"/>
      <c r="H62" s="4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</row>
    <row r="63" spans="1:27" ht="20.25" customHeight="1" x14ac:dyDescent="0.25">
      <c r="A63" s="4"/>
      <c r="B63" s="32" t="s">
        <v>427</v>
      </c>
      <c r="C63" s="408" t="s">
        <v>432</v>
      </c>
      <c r="D63" s="408"/>
      <c r="E63" s="331"/>
      <c r="F63" s="331"/>
      <c r="G63" s="331"/>
      <c r="H63" s="4"/>
      <c r="I63" s="146"/>
      <c r="J63" s="146"/>
      <c r="K63" s="146"/>
      <c r="L63" s="146"/>
      <c r="M63" s="146"/>
      <c r="N63" s="146"/>
      <c r="O63" s="146"/>
      <c r="P63" s="146"/>
      <c r="Q63" s="146"/>
      <c r="R63" s="146"/>
      <c r="S63" s="146"/>
      <c r="T63" s="146"/>
      <c r="U63" s="146"/>
      <c r="V63" s="146"/>
      <c r="W63" s="146"/>
      <c r="X63" s="146"/>
      <c r="Y63" s="146"/>
      <c r="Z63" s="146"/>
      <c r="AA63" s="146"/>
    </row>
    <row r="64" spans="1:27" ht="20.25" customHeight="1" x14ac:dyDescent="0.25">
      <c r="A64" s="4"/>
      <c r="B64" s="180"/>
      <c r="C64" s="166"/>
      <c r="D64" s="166"/>
      <c r="E64" s="166"/>
      <c r="F64" s="166"/>
      <c r="G64" s="4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</row>
    <row r="65" spans="1:27" ht="20.25" customHeight="1" x14ac:dyDescent="0.25">
      <c r="A65" s="4"/>
      <c r="B65" s="4"/>
      <c r="C65" s="4"/>
      <c r="D65" s="4"/>
      <c r="E65" s="166"/>
      <c r="F65" s="166"/>
      <c r="G65" s="4"/>
      <c r="H65" s="146"/>
      <c r="I65" s="146"/>
      <c r="J65" s="146"/>
      <c r="K65" s="146"/>
      <c r="L65" s="146"/>
      <c r="M65" s="146"/>
      <c r="N65" s="146"/>
      <c r="O65" s="146"/>
      <c r="P65" s="146"/>
      <c r="Q65" s="146"/>
      <c r="R65" s="146"/>
      <c r="S65" s="146"/>
      <c r="T65" s="146"/>
      <c r="U65" s="146"/>
      <c r="V65" s="146"/>
      <c r="W65" s="146"/>
      <c r="X65" s="146"/>
      <c r="Y65" s="146"/>
      <c r="Z65" s="146"/>
      <c r="AA65" s="146"/>
    </row>
    <row r="66" spans="1:27" ht="21" customHeight="1" x14ac:dyDescent="0.25">
      <c r="A66" s="4"/>
      <c r="B66" s="402" t="s">
        <v>14</v>
      </c>
      <c r="C66" s="328"/>
      <c r="D66" s="413"/>
      <c r="E66" s="328"/>
      <c r="F66" s="329"/>
      <c r="G66" s="4"/>
      <c r="H66" s="146"/>
      <c r="I66" s="146"/>
      <c r="J66" s="146"/>
      <c r="K66" s="146"/>
      <c r="L66" s="146"/>
      <c r="M66" s="146"/>
      <c r="N66" s="146"/>
      <c r="O66" s="146"/>
      <c r="P66" s="146"/>
      <c r="Q66" s="146"/>
      <c r="R66" s="146"/>
      <c r="S66" s="146"/>
      <c r="T66" s="146"/>
      <c r="U66" s="146"/>
      <c r="V66" s="146"/>
      <c r="W66" s="146"/>
      <c r="X66" s="146"/>
      <c r="Y66" s="146"/>
      <c r="Z66" s="146"/>
      <c r="AA66" s="146"/>
    </row>
    <row r="67" spans="1:27" ht="20.25" customHeight="1" x14ac:dyDescent="0.25">
      <c r="A67" s="4"/>
      <c r="B67" s="330"/>
      <c r="C67" s="331"/>
      <c r="D67" s="331"/>
      <c r="E67" s="331"/>
      <c r="F67" s="332"/>
      <c r="G67" s="4"/>
      <c r="H67" s="146"/>
      <c r="I67" s="146"/>
      <c r="J67" s="146"/>
      <c r="K67" s="146"/>
      <c r="L67" s="146"/>
      <c r="M67" s="146"/>
      <c r="N67" s="146"/>
      <c r="O67" s="146"/>
      <c r="P67" s="146"/>
      <c r="Q67" s="146"/>
      <c r="R67" s="146"/>
      <c r="S67" s="146"/>
      <c r="T67" s="146"/>
      <c r="U67" s="146"/>
      <c r="V67" s="146"/>
      <c r="W67" s="146"/>
      <c r="X67" s="146"/>
      <c r="Y67" s="146"/>
      <c r="Z67" s="146"/>
      <c r="AA67" s="146"/>
    </row>
    <row r="68" spans="1:27" ht="20.25" customHeight="1" x14ac:dyDescent="0.25">
      <c r="A68" s="4"/>
      <c r="B68" s="330"/>
      <c r="C68" s="331"/>
      <c r="D68" s="331"/>
      <c r="E68" s="331"/>
      <c r="F68" s="332"/>
      <c r="G68" s="4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</row>
    <row r="69" spans="1:27" ht="20.25" customHeight="1" x14ac:dyDescent="0.25">
      <c r="A69" s="4"/>
      <c r="B69" s="330"/>
      <c r="C69" s="331"/>
      <c r="D69" s="331"/>
      <c r="E69" s="331"/>
      <c r="F69" s="332"/>
      <c r="G69" s="4"/>
      <c r="H69" s="146"/>
      <c r="I69" s="146"/>
      <c r="J69" s="146"/>
      <c r="K69" s="146"/>
      <c r="L69" s="146"/>
      <c r="M69" s="146"/>
      <c r="N69" s="146"/>
      <c r="O69" s="146"/>
      <c r="P69" s="146"/>
      <c r="Q69" s="146"/>
      <c r="R69" s="146"/>
      <c r="S69" s="146"/>
      <c r="T69" s="146"/>
      <c r="U69" s="146"/>
      <c r="V69" s="146"/>
      <c r="W69" s="146"/>
      <c r="X69" s="146"/>
      <c r="Y69" s="146"/>
      <c r="Z69" s="146"/>
      <c r="AA69" s="146"/>
    </row>
    <row r="70" spans="1:27" ht="20.25" customHeight="1" x14ac:dyDescent="0.25">
      <c r="A70" s="4"/>
      <c r="B70" s="330"/>
      <c r="C70" s="331"/>
      <c r="D70" s="331"/>
      <c r="E70" s="331"/>
      <c r="F70" s="332"/>
      <c r="G70" s="4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</row>
    <row r="71" spans="1:27" ht="20.25" customHeight="1" x14ac:dyDescent="0.3">
      <c r="A71" s="4"/>
      <c r="B71" s="340" t="str">
        <f>'DADOS GERAIS'!C24</f>
        <v>Kleber Viana Bueno Telles</v>
      </c>
      <c r="C71" s="331"/>
      <c r="D71" s="331"/>
      <c r="E71" s="331"/>
      <c r="F71" s="332"/>
      <c r="G71" s="4"/>
      <c r="H71" s="146"/>
      <c r="I71" s="146"/>
      <c r="J71" s="146"/>
      <c r="K71" s="146"/>
      <c r="L71" s="146"/>
      <c r="M71" s="146"/>
      <c r="N71" s="146"/>
      <c r="O71" s="146"/>
      <c r="P71" s="146"/>
      <c r="Q71" s="146"/>
      <c r="R71" s="146"/>
      <c r="S71" s="146"/>
      <c r="T71" s="146"/>
      <c r="U71" s="146"/>
      <c r="V71" s="146"/>
      <c r="W71" s="146"/>
      <c r="X71" s="146"/>
      <c r="Y71" s="146"/>
      <c r="Z71" s="146"/>
      <c r="AA71" s="146"/>
    </row>
    <row r="72" spans="1:27" ht="20.25" customHeight="1" x14ac:dyDescent="0.25">
      <c r="A72" s="4"/>
      <c r="B72" s="403" t="str">
        <f>'DADOS GERAIS'!C25</f>
        <v>Engenheiro Civil  - CREA 27115 DPE</v>
      </c>
      <c r="C72" s="331"/>
      <c r="D72" s="331"/>
      <c r="E72" s="331"/>
      <c r="F72" s="332"/>
      <c r="G72" s="4"/>
      <c r="H72" s="146"/>
      <c r="I72" s="146"/>
      <c r="J72" s="146"/>
      <c r="K72" s="146"/>
      <c r="L72" s="146"/>
      <c r="M72" s="146"/>
      <c r="N72" s="146"/>
      <c r="O72" s="146"/>
      <c r="P72" s="146"/>
      <c r="Q72" s="146"/>
      <c r="R72" s="146"/>
      <c r="S72" s="146"/>
      <c r="T72" s="146"/>
      <c r="U72" s="146"/>
      <c r="V72" s="146"/>
      <c r="W72" s="146"/>
      <c r="X72" s="146"/>
      <c r="Y72" s="146"/>
      <c r="Z72" s="146"/>
      <c r="AA72" s="146"/>
    </row>
    <row r="73" spans="1:27" ht="15.75" customHeight="1" x14ac:dyDescent="0.25">
      <c r="A73" s="4"/>
      <c r="B73" s="91"/>
      <c r="C73" s="42"/>
      <c r="D73" s="214"/>
      <c r="E73" s="42"/>
      <c r="F73" s="43"/>
      <c r="G73" s="4"/>
      <c r="H73" s="146"/>
      <c r="I73" s="146"/>
      <c r="J73" s="146"/>
      <c r="K73" s="146"/>
      <c r="L73" s="146"/>
      <c r="M73" s="146"/>
      <c r="N73" s="146"/>
      <c r="O73" s="146"/>
      <c r="P73" s="146"/>
      <c r="Q73" s="146"/>
      <c r="R73" s="146"/>
      <c r="S73" s="146"/>
      <c r="T73" s="146"/>
      <c r="U73" s="146"/>
      <c r="V73" s="146"/>
      <c r="W73" s="146"/>
      <c r="X73" s="146"/>
      <c r="Y73" s="146"/>
      <c r="Z73" s="146"/>
      <c r="AA73" s="146"/>
    </row>
    <row r="74" spans="1:27" ht="20.25" customHeight="1" x14ac:dyDescent="0.25">
      <c r="A74" s="4"/>
      <c r="B74" s="4"/>
      <c r="C74" s="4"/>
      <c r="D74" s="4"/>
      <c r="E74" s="4"/>
      <c r="F74" s="4"/>
      <c r="G74" s="4"/>
      <c r="H74" s="146"/>
      <c r="I74" s="146"/>
      <c r="J74" s="146"/>
      <c r="K74" s="146"/>
      <c r="L74" s="146"/>
      <c r="M74" s="146"/>
      <c r="N74" s="146"/>
      <c r="O74" s="146"/>
      <c r="P74" s="146"/>
      <c r="Q74" s="146"/>
      <c r="R74" s="146"/>
      <c r="S74" s="146"/>
      <c r="T74" s="146"/>
      <c r="U74" s="146"/>
      <c r="V74" s="146"/>
      <c r="W74" s="146"/>
      <c r="X74" s="146"/>
      <c r="Y74" s="146"/>
      <c r="Z74" s="146"/>
      <c r="AA74" s="146"/>
    </row>
    <row r="75" spans="1:27" ht="15.75" customHeight="1" x14ac:dyDescent="0.25">
      <c r="A75" s="146"/>
      <c r="B75" s="146"/>
      <c r="C75" s="146"/>
      <c r="D75" s="146"/>
      <c r="E75" s="146"/>
      <c r="F75" s="146"/>
      <c r="G75" s="146"/>
      <c r="H75" s="146"/>
      <c r="I75" s="146"/>
      <c r="J75" s="146"/>
      <c r="K75" s="146"/>
      <c r="L75" s="146"/>
      <c r="M75" s="146"/>
      <c r="N75" s="146"/>
      <c r="O75" s="146"/>
      <c r="P75" s="146"/>
      <c r="Q75" s="146"/>
      <c r="R75" s="146"/>
      <c r="S75" s="146"/>
      <c r="T75" s="146"/>
      <c r="U75" s="146"/>
      <c r="V75" s="146"/>
      <c r="W75" s="146"/>
      <c r="X75" s="146"/>
      <c r="Y75" s="146"/>
      <c r="Z75" s="146"/>
      <c r="AA75" s="146"/>
    </row>
    <row r="76" spans="1:27" ht="15.75" customHeight="1" x14ac:dyDescent="0.25">
      <c r="A76" s="146"/>
      <c r="B76" s="146"/>
      <c r="C76" s="146"/>
      <c r="D76" s="146"/>
      <c r="E76" s="146"/>
      <c r="F76" s="146"/>
      <c r="G76" s="146"/>
      <c r="H76" s="146"/>
      <c r="I76" s="146"/>
      <c r="J76" s="146"/>
      <c r="K76" s="146"/>
      <c r="L76" s="146"/>
      <c r="M76" s="146"/>
      <c r="N76" s="146"/>
      <c r="O76" s="146"/>
      <c r="P76" s="146"/>
      <c r="Q76" s="146"/>
      <c r="R76" s="146"/>
      <c r="S76" s="146"/>
      <c r="T76" s="146"/>
      <c r="U76" s="146"/>
      <c r="V76" s="146"/>
      <c r="W76" s="146"/>
      <c r="X76" s="146"/>
      <c r="Y76" s="146"/>
      <c r="Z76" s="146"/>
      <c r="AA76" s="146"/>
    </row>
    <row r="77" spans="1:27" ht="15.75" customHeight="1" x14ac:dyDescent="0.25">
      <c r="A77" s="146"/>
      <c r="B77" s="146"/>
      <c r="C77" s="146"/>
      <c r="D77" s="146"/>
      <c r="E77" s="146"/>
      <c r="F77" s="146"/>
      <c r="G77" s="146"/>
      <c r="H77" s="146"/>
      <c r="I77" s="146"/>
      <c r="J77" s="146"/>
      <c r="K77" s="146"/>
      <c r="L77" s="146"/>
      <c r="M77" s="146"/>
      <c r="N77" s="146"/>
      <c r="O77" s="146"/>
      <c r="P77" s="146"/>
      <c r="Q77" s="146"/>
      <c r="R77" s="146"/>
      <c r="S77" s="146"/>
      <c r="T77" s="146"/>
      <c r="U77" s="146"/>
      <c r="V77" s="146"/>
      <c r="W77" s="146"/>
      <c r="X77" s="146"/>
      <c r="Y77" s="146"/>
      <c r="Z77" s="146"/>
      <c r="AA77" s="146"/>
    </row>
    <row r="78" spans="1:27" ht="15.75" customHeight="1" x14ac:dyDescent="0.25">
      <c r="A78" s="146"/>
      <c r="B78" s="146"/>
      <c r="C78" s="146"/>
      <c r="D78" s="146"/>
      <c r="E78" s="146"/>
      <c r="F78" s="146"/>
      <c r="G78" s="146"/>
      <c r="H78" s="146"/>
      <c r="I78" s="146"/>
      <c r="J78" s="146"/>
      <c r="K78" s="146"/>
      <c r="L78" s="146"/>
      <c r="M78" s="146"/>
      <c r="N78" s="146"/>
      <c r="O78" s="146"/>
      <c r="P78" s="146"/>
      <c r="Q78" s="146"/>
      <c r="R78" s="146"/>
      <c r="S78" s="146"/>
      <c r="T78" s="146"/>
      <c r="U78" s="146"/>
      <c r="V78" s="146"/>
      <c r="W78" s="146"/>
      <c r="X78" s="146"/>
      <c r="Y78" s="146"/>
      <c r="Z78" s="146"/>
      <c r="AA78" s="146"/>
    </row>
    <row r="79" spans="1:27" ht="15.75" customHeight="1" x14ac:dyDescent="0.25">
      <c r="A79" s="146"/>
      <c r="B79" s="146"/>
      <c r="C79" s="146"/>
      <c r="D79" s="146"/>
      <c r="E79" s="146"/>
      <c r="F79" s="146"/>
      <c r="G79" s="146"/>
      <c r="H79" s="146"/>
      <c r="I79" s="146"/>
      <c r="J79" s="146"/>
      <c r="K79" s="146"/>
      <c r="L79" s="146"/>
      <c r="M79" s="146"/>
      <c r="N79" s="146"/>
      <c r="O79" s="146"/>
      <c r="P79" s="146"/>
      <c r="Q79" s="146"/>
      <c r="R79" s="146"/>
      <c r="S79" s="146"/>
      <c r="T79" s="146"/>
      <c r="U79" s="146"/>
      <c r="V79" s="146"/>
      <c r="W79" s="146"/>
      <c r="X79" s="146"/>
      <c r="Y79" s="146"/>
      <c r="Z79" s="146"/>
      <c r="AA79" s="146"/>
    </row>
    <row r="80" spans="1:27" ht="15.75" customHeight="1" x14ac:dyDescent="0.25">
      <c r="A80" s="146"/>
      <c r="B80" s="146"/>
      <c r="C80" s="146"/>
      <c r="D80" s="146"/>
      <c r="E80" s="146"/>
      <c r="F80" s="146"/>
      <c r="G80" s="146"/>
      <c r="H80" s="146"/>
      <c r="I80" s="146"/>
      <c r="J80" s="146"/>
      <c r="K80" s="146"/>
      <c r="L80" s="146"/>
      <c r="M80" s="146"/>
      <c r="N80" s="146"/>
      <c r="O80" s="146"/>
      <c r="P80" s="146"/>
      <c r="Q80" s="146"/>
      <c r="R80" s="146"/>
      <c r="S80" s="146"/>
      <c r="T80" s="146"/>
      <c r="U80" s="146"/>
      <c r="V80" s="146"/>
      <c r="W80" s="146"/>
      <c r="X80" s="146"/>
      <c r="Y80" s="146"/>
      <c r="Z80" s="146"/>
      <c r="AA80" s="146"/>
    </row>
    <row r="81" spans="1:27" ht="15.75" customHeight="1" x14ac:dyDescent="0.25">
      <c r="A81" s="146"/>
      <c r="B81" s="146"/>
      <c r="C81" s="146"/>
      <c r="D81" s="146"/>
      <c r="E81" s="146"/>
      <c r="F81" s="146"/>
      <c r="G81" s="146"/>
      <c r="H81" s="146"/>
      <c r="I81" s="146"/>
      <c r="J81" s="146"/>
      <c r="K81" s="146"/>
      <c r="L81" s="146"/>
      <c r="M81" s="146"/>
      <c r="N81" s="146"/>
      <c r="O81" s="146"/>
      <c r="P81" s="146"/>
      <c r="Q81" s="146"/>
      <c r="R81" s="146"/>
      <c r="S81" s="146"/>
      <c r="T81" s="146"/>
      <c r="U81" s="146"/>
      <c r="V81" s="146"/>
      <c r="W81" s="146"/>
      <c r="X81" s="146"/>
      <c r="Y81" s="146"/>
      <c r="Z81" s="146"/>
      <c r="AA81" s="146"/>
    </row>
    <row r="82" spans="1:27" ht="15.75" customHeight="1" x14ac:dyDescent="0.25">
      <c r="A82" s="146"/>
      <c r="B82" s="146"/>
      <c r="C82" s="146"/>
      <c r="D82" s="146"/>
      <c r="E82" s="146"/>
      <c r="F82" s="146"/>
      <c r="G82" s="146"/>
      <c r="H82" s="146"/>
      <c r="I82" s="146"/>
      <c r="J82" s="146"/>
      <c r="K82" s="146"/>
      <c r="L82" s="146"/>
      <c r="M82" s="146"/>
      <c r="N82" s="146"/>
      <c r="O82" s="146"/>
      <c r="P82" s="146"/>
      <c r="Q82" s="146"/>
      <c r="R82" s="146"/>
      <c r="S82" s="146"/>
      <c r="T82" s="146"/>
      <c r="U82" s="146"/>
      <c r="V82" s="146"/>
      <c r="W82" s="146"/>
      <c r="X82" s="146"/>
      <c r="Y82" s="146"/>
      <c r="Z82" s="146"/>
      <c r="AA82" s="146"/>
    </row>
    <row r="83" spans="1:27" ht="15.75" customHeight="1" x14ac:dyDescent="0.25">
      <c r="A83" s="146"/>
      <c r="B83" s="146"/>
      <c r="C83" s="146"/>
      <c r="D83" s="146"/>
      <c r="E83" s="146"/>
      <c r="F83" s="146"/>
      <c r="G83" s="146"/>
      <c r="H83" s="146"/>
      <c r="I83" s="146"/>
      <c r="J83" s="146"/>
      <c r="K83" s="146"/>
      <c r="L83" s="146"/>
      <c r="M83" s="146"/>
      <c r="N83" s="146"/>
      <c r="O83" s="146"/>
      <c r="P83" s="146"/>
      <c r="Q83" s="146"/>
      <c r="R83" s="146"/>
      <c r="S83" s="146"/>
      <c r="T83" s="146"/>
      <c r="U83" s="146"/>
      <c r="V83" s="146"/>
      <c r="W83" s="146"/>
      <c r="X83" s="146"/>
      <c r="Y83" s="146"/>
      <c r="Z83" s="146"/>
      <c r="AA83" s="146"/>
    </row>
    <row r="84" spans="1:27" ht="15.75" customHeight="1" x14ac:dyDescent="0.25">
      <c r="A84" s="146"/>
      <c r="B84" s="146"/>
      <c r="C84" s="146"/>
      <c r="D84" s="146"/>
      <c r="E84" s="146"/>
      <c r="F84" s="146"/>
      <c r="G84" s="146"/>
      <c r="H84" s="146"/>
      <c r="I84" s="146"/>
      <c r="J84" s="146"/>
      <c r="K84" s="146"/>
      <c r="L84" s="146"/>
      <c r="M84" s="146"/>
      <c r="N84" s="146"/>
      <c r="O84" s="146"/>
      <c r="P84" s="146"/>
      <c r="Q84" s="146"/>
      <c r="R84" s="146"/>
      <c r="S84" s="146"/>
      <c r="T84" s="146"/>
      <c r="U84" s="146"/>
      <c r="V84" s="146"/>
      <c r="W84" s="146"/>
      <c r="X84" s="146"/>
      <c r="Y84" s="146"/>
      <c r="Z84" s="146"/>
      <c r="AA84" s="146"/>
    </row>
    <row r="85" spans="1:27" ht="15.75" customHeight="1" x14ac:dyDescent="0.25">
      <c r="A85" s="146"/>
      <c r="B85" s="146"/>
      <c r="C85" s="146"/>
      <c r="D85" s="146"/>
      <c r="E85" s="146"/>
      <c r="F85" s="146"/>
      <c r="G85" s="146"/>
      <c r="H85" s="146"/>
      <c r="I85" s="146"/>
      <c r="J85" s="146"/>
      <c r="K85" s="146"/>
      <c r="L85" s="146"/>
      <c r="M85" s="146"/>
      <c r="N85" s="146"/>
      <c r="O85" s="146"/>
      <c r="P85" s="146"/>
      <c r="Q85" s="146"/>
      <c r="R85" s="146"/>
      <c r="S85" s="146"/>
      <c r="T85" s="146"/>
      <c r="U85" s="146"/>
      <c r="V85" s="146"/>
      <c r="W85" s="146"/>
      <c r="X85" s="146"/>
      <c r="Y85" s="146"/>
      <c r="Z85" s="146"/>
      <c r="AA85" s="146"/>
    </row>
    <row r="86" spans="1:27" ht="15.75" customHeight="1" x14ac:dyDescent="0.25">
      <c r="A86" s="146"/>
      <c r="B86" s="146"/>
      <c r="C86" s="146"/>
      <c r="D86" s="146"/>
      <c r="E86" s="146"/>
      <c r="F86" s="146"/>
      <c r="G86" s="146"/>
      <c r="H86" s="146"/>
      <c r="I86" s="146"/>
      <c r="J86" s="146"/>
      <c r="K86" s="146"/>
      <c r="L86" s="146"/>
      <c r="M86" s="146"/>
      <c r="N86" s="146"/>
      <c r="O86" s="146"/>
      <c r="P86" s="146"/>
      <c r="Q86" s="146"/>
      <c r="R86" s="146"/>
      <c r="S86" s="146"/>
      <c r="T86" s="146"/>
      <c r="U86" s="146"/>
      <c r="V86" s="146"/>
      <c r="W86" s="146"/>
      <c r="X86" s="146"/>
      <c r="Y86" s="146"/>
      <c r="Z86" s="146"/>
      <c r="AA86" s="146"/>
    </row>
    <row r="87" spans="1:27" ht="15.75" customHeight="1" x14ac:dyDescent="0.25">
      <c r="A87" s="146"/>
      <c r="B87" s="146"/>
      <c r="C87" s="146"/>
      <c r="D87" s="146"/>
      <c r="E87" s="146"/>
      <c r="F87" s="146"/>
      <c r="G87" s="146"/>
      <c r="H87" s="146"/>
      <c r="I87" s="146"/>
      <c r="J87" s="146"/>
      <c r="K87" s="146"/>
      <c r="L87" s="146"/>
      <c r="M87" s="146"/>
      <c r="N87" s="146"/>
      <c r="O87" s="146"/>
      <c r="P87" s="146"/>
      <c r="Q87" s="146"/>
      <c r="R87" s="146"/>
      <c r="S87" s="146"/>
      <c r="T87" s="146"/>
      <c r="U87" s="146"/>
      <c r="V87" s="146"/>
      <c r="W87" s="146"/>
      <c r="X87" s="146"/>
      <c r="Y87" s="146"/>
      <c r="Z87" s="146"/>
      <c r="AA87" s="146"/>
    </row>
    <row r="88" spans="1:27" ht="15.75" customHeight="1" x14ac:dyDescent="0.25">
      <c r="A88" s="146"/>
      <c r="B88" s="146"/>
      <c r="C88" s="146"/>
      <c r="D88" s="146"/>
      <c r="E88" s="146"/>
      <c r="F88" s="146"/>
      <c r="G88" s="146"/>
      <c r="H88" s="146"/>
      <c r="I88" s="146"/>
      <c r="J88" s="146"/>
      <c r="K88" s="146"/>
      <c r="L88" s="146"/>
      <c r="M88" s="146"/>
      <c r="N88" s="146"/>
      <c r="O88" s="146"/>
      <c r="P88" s="146"/>
      <c r="Q88" s="146"/>
      <c r="R88" s="146"/>
      <c r="S88" s="146"/>
      <c r="T88" s="146"/>
      <c r="U88" s="146"/>
      <c r="V88" s="146"/>
      <c r="W88" s="146"/>
      <c r="X88" s="146"/>
      <c r="Y88" s="146"/>
      <c r="Z88" s="146"/>
      <c r="AA88" s="146"/>
    </row>
    <row r="89" spans="1:27" ht="15.75" customHeight="1" x14ac:dyDescent="0.25">
      <c r="A89" s="146"/>
      <c r="B89" s="146"/>
      <c r="C89" s="146"/>
      <c r="D89" s="146"/>
      <c r="E89" s="146"/>
      <c r="F89" s="146"/>
      <c r="G89" s="146"/>
      <c r="H89" s="146"/>
      <c r="I89" s="146"/>
      <c r="J89" s="146"/>
      <c r="K89" s="146"/>
      <c r="L89" s="146"/>
      <c r="M89" s="146"/>
      <c r="N89" s="146"/>
      <c r="O89" s="146"/>
      <c r="P89" s="146"/>
      <c r="Q89" s="146"/>
      <c r="R89" s="146"/>
      <c r="S89" s="146"/>
      <c r="T89" s="146"/>
      <c r="U89" s="146"/>
      <c r="V89" s="146"/>
      <c r="W89" s="146"/>
      <c r="X89" s="146"/>
      <c r="Y89" s="146"/>
      <c r="Z89" s="146"/>
      <c r="AA89" s="146"/>
    </row>
    <row r="90" spans="1:27" ht="15.75" customHeight="1" x14ac:dyDescent="0.25">
      <c r="A90" s="146"/>
      <c r="B90" s="146"/>
      <c r="C90" s="146"/>
      <c r="D90" s="146"/>
      <c r="E90" s="146"/>
      <c r="F90" s="146"/>
      <c r="G90" s="146"/>
      <c r="H90" s="146"/>
      <c r="I90" s="146"/>
      <c r="J90" s="146"/>
      <c r="K90" s="146"/>
      <c r="L90" s="146"/>
      <c r="M90" s="146"/>
      <c r="N90" s="146"/>
      <c r="O90" s="146"/>
      <c r="P90" s="146"/>
      <c r="Q90" s="146"/>
      <c r="R90" s="146"/>
      <c r="S90" s="146"/>
      <c r="T90" s="146"/>
      <c r="U90" s="146"/>
      <c r="V90" s="146"/>
      <c r="W90" s="146"/>
      <c r="X90" s="146"/>
      <c r="Y90" s="146"/>
      <c r="Z90" s="146"/>
      <c r="AA90" s="146"/>
    </row>
    <row r="91" spans="1:27" ht="15.75" customHeight="1" x14ac:dyDescent="0.25">
      <c r="A91" s="146"/>
      <c r="B91" s="146"/>
      <c r="C91" s="146"/>
      <c r="D91" s="146"/>
      <c r="E91" s="146"/>
      <c r="F91" s="146"/>
      <c r="G91" s="146"/>
      <c r="H91" s="146"/>
      <c r="I91" s="146"/>
      <c r="J91" s="146"/>
      <c r="K91" s="146"/>
      <c r="L91" s="146"/>
      <c r="M91" s="146"/>
      <c r="N91" s="146"/>
      <c r="O91" s="146"/>
      <c r="P91" s="146"/>
      <c r="Q91" s="146"/>
      <c r="R91" s="146"/>
      <c r="S91" s="146"/>
      <c r="T91" s="146"/>
      <c r="U91" s="146"/>
      <c r="V91" s="146"/>
      <c r="W91" s="146"/>
      <c r="X91" s="146"/>
      <c r="Y91" s="146"/>
      <c r="Z91" s="146"/>
      <c r="AA91" s="146"/>
    </row>
    <row r="92" spans="1:27" ht="15.75" customHeight="1" x14ac:dyDescent="0.25">
      <c r="A92" s="146"/>
      <c r="B92" s="146"/>
      <c r="C92" s="146"/>
      <c r="D92" s="146"/>
      <c r="E92" s="146"/>
      <c r="F92" s="146"/>
      <c r="G92" s="146"/>
      <c r="H92" s="146"/>
      <c r="I92" s="146"/>
      <c r="J92" s="146"/>
      <c r="K92" s="146"/>
      <c r="L92" s="146"/>
      <c r="M92" s="146"/>
      <c r="N92" s="146"/>
      <c r="O92" s="146"/>
      <c r="P92" s="146"/>
      <c r="Q92" s="146"/>
      <c r="R92" s="146"/>
      <c r="S92" s="146"/>
      <c r="T92" s="146"/>
      <c r="U92" s="146"/>
      <c r="V92" s="146"/>
      <c r="W92" s="146"/>
      <c r="X92" s="146"/>
      <c r="Y92" s="146"/>
      <c r="Z92" s="146"/>
      <c r="AA92" s="146"/>
    </row>
    <row r="93" spans="1:27" ht="15.75" customHeight="1" x14ac:dyDescent="0.25">
      <c r="A93" s="146"/>
      <c r="B93" s="146"/>
      <c r="C93" s="146"/>
      <c r="D93" s="146"/>
      <c r="E93" s="146"/>
      <c r="F93" s="146"/>
      <c r="G93" s="146"/>
      <c r="H93" s="146"/>
      <c r="I93" s="146"/>
      <c r="J93" s="146"/>
      <c r="K93" s="146"/>
      <c r="L93" s="146"/>
      <c r="M93" s="146"/>
      <c r="N93" s="146"/>
      <c r="O93" s="146"/>
      <c r="P93" s="146"/>
      <c r="Q93" s="146"/>
      <c r="R93" s="146"/>
      <c r="S93" s="146"/>
      <c r="T93" s="146"/>
      <c r="U93" s="146"/>
      <c r="V93" s="146"/>
      <c r="W93" s="146"/>
      <c r="X93" s="146"/>
      <c r="Y93" s="146"/>
      <c r="Z93" s="146"/>
      <c r="AA93" s="146"/>
    </row>
    <row r="94" spans="1:27" ht="15.75" customHeight="1" x14ac:dyDescent="0.25">
      <c r="A94" s="146"/>
      <c r="B94" s="146"/>
      <c r="C94" s="146"/>
      <c r="D94" s="146"/>
      <c r="E94" s="146"/>
      <c r="F94" s="146"/>
      <c r="G94" s="146"/>
      <c r="H94" s="146"/>
      <c r="I94" s="146"/>
      <c r="J94" s="146"/>
      <c r="K94" s="146"/>
      <c r="L94" s="146"/>
      <c r="M94" s="146"/>
      <c r="N94" s="146"/>
      <c r="O94" s="146"/>
      <c r="P94" s="146"/>
      <c r="Q94" s="146"/>
      <c r="R94" s="146"/>
      <c r="S94" s="146"/>
      <c r="T94" s="146"/>
      <c r="U94" s="146"/>
      <c r="V94" s="146"/>
      <c r="W94" s="146"/>
      <c r="X94" s="146"/>
      <c r="Y94" s="146"/>
      <c r="Z94" s="146"/>
      <c r="AA94" s="146"/>
    </row>
    <row r="95" spans="1:27" ht="15.75" customHeight="1" x14ac:dyDescent="0.25">
      <c r="A95" s="146"/>
      <c r="B95" s="146"/>
      <c r="C95" s="146"/>
      <c r="D95" s="146"/>
      <c r="E95" s="146"/>
      <c r="F95" s="146"/>
      <c r="G95" s="146"/>
      <c r="H95" s="146"/>
      <c r="I95" s="146"/>
      <c r="J95" s="146"/>
      <c r="K95" s="146"/>
      <c r="L95" s="146"/>
      <c r="M95" s="146"/>
      <c r="N95" s="146"/>
      <c r="O95" s="146"/>
      <c r="P95" s="146"/>
      <c r="Q95" s="146"/>
      <c r="R95" s="146"/>
      <c r="S95" s="146"/>
      <c r="T95" s="146"/>
      <c r="U95" s="146"/>
      <c r="V95" s="146"/>
      <c r="W95" s="146"/>
      <c r="X95" s="146"/>
      <c r="Y95" s="146"/>
      <c r="Z95" s="146"/>
      <c r="AA95" s="146"/>
    </row>
    <row r="96" spans="1:27" ht="15.75" customHeight="1" x14ac:dyDescent="0.25">
      <c r="A96" s="146"/>
      <c r="B96" s="146"/>
      <c r="C96" s="146"/>
      <c r="D96" s="146"/>
      <c r="E96" s="146"/>
      <c r="F96" s="146"/>
      <c r="G96" s="146"/>
      <c r="H96" s="146"/>
      <c r="I96" s="146"/>
      <c r="J96" s="146"/>
      <c r="K96" s="146"/>
      <c r="L96" s="146"/>
      <c r="M96" s="146"/>
      <c r="N96" s="146"/>
      <c r="O96" s="146"/>
      <c r="P96" s="146"/>
      <c r="Q96" s="146"/>
      <c r="R96" s="146"/>
      <c r="S96" s="146"/>
      <c r="T96" s="146"/>
      <c r="U96" s="146"/>
      <c r="V96" s="146"/>
      <c r="W96" s="146"/>
      <c r="X96" s="146"/>
      <c r="Y96" s="146"/>
      <c r="Z96" s="146"/>
      <c r="AA96" s="146"/>
    </row>
    <row r="97" spans="1:27" ht="15.75" customHeight="1" x14ac:dyDescent="0.25">
      <c r="A97" s="146"/>
      <c r="B97" s="146"/>
      <c r="C97" s="146"/>
      <c r="D97" s="146"/>
      <c r="E97" s="146"/>
      <c r="F97" s="146"/>
      <c r="G97" s="146"/>
      <c r="H97" s="146"/>
      <c r="I97" s="146"/>
      <c r="J97" s="146"/>
      <c r="K97" s="146"/>
      <c r="L97" s="146"/>
      <c r="M97" s="146"/>
      <c r="N97" s="146"/>
      <c r="O97" s="146"/>
      <c r="P97" s="146"/>
      <c r="Q97" s="146"/>
      <c r="R97" s="146"/>
      <c r="S97" s="146"/>
      <c r="T97" s="146"/>
      <c r="U97" s="146"/>
      <c r="V97" s="146"/>
      <c r="W97" s="146"/>
      <c r="X97" s="146"/>
      <c r="Y97" s="146"/>
      <c r="Z97" s="146"/>
      <c r="AA97" s="146"/>
    </row>
    <row r="98" spans="1:27" ht="15.75" customHeight="1" x14ac:dyDescent="0.25">
      <c r="A98" s="146"/>
      <c r="B98" s="146"/>
      <c r="C98" s="146"/>
      <c r="D98" s="146"/>
      <c r="E98" s="146"/>
      <c r="F98" s="146"/>
      <c r="G98" s="146"/>
      <c r="H98" s="146"/>
      <c r="I98" s="146"/>
      <c r="J98" s="146"/>
      <c r="K98" s="146"/>
      <c r="L98" s="146"/>
      <c r="M98" s="146"/>
      <c r="N98" s="146"/>
      <c r="O98" s="146"/>
      <c r="P98" s="146"/>
      <c r="Q98" s="146"/>
      <c r="R98" s="146"/>
      <c r="S98" s="146"/>
      <c r="T98" s="146"/>
      <c r="U98" s="146"/>
      <c r="V98" s="146"/>
      <c r="W98" s="146"/>
      <c r="X98" s="146"/>
      <c r="Y98" s="146"/>
      <c r="Z98" s="146"/>
      <c r="AA98" s="146"/>
    </row>
    <row r="99" spans="1:27" ht="15.75" customHeight="1" x14ac:dyDescent="0.25">
      <c r="A99" s="146"/>
      <c r="B99" s="146"/>
      <c r="C99" s="146"/>
      <c r="D99" s="146"/>
      <c r="E99" s="146"/>
      <c r="F99" s="146"/>
      <c r="G99" s="146"/>
      <c r="H99" s="146"/>
      <c r="I99" s="146"/>
      <c r="J99" s="146"/>
      <c r="K99" s="146"/>
      <c r="L99" s="146"/>
      <c r="M99" s="146"/>
      <c r="N99" s="146"/>
      <c r="O99" s="146"/>
      <c r="P99" s="146"/>
      <c r="Q99" s="146"/>
      <c r="R99" s="146"/>
      <c r="S99" s="146"/>
      <c r="T99" s="146"/>
      <c r="U99" s="146"/>
      <c r="V99" s="146"/>
      <c r="W99" s="146"/>
      <c r="X99" s="146"/>
      <c r="Y99" s="146"/>
      <c r="Z99" s="146"/>
      <c r="AA99" s="146"/>
    </row>
    <row r="100" spans="1:27" ht="15.75" customHeight="1" x14ac:dyDescent="0.25">
      <c r="A100" s="146"/>
      <c r="B100" s="146"/>
      <c r="C100" s="146"/>
      <c r="D100" s="146"/>
      <c r="E100" s="146"/>
      <c r="F100" s="146"/>
      <c r="G100" s="146"/>
      <c r="H100" s="146"/>
      <c r="I100" s="146"/>
      <c r="J100" s="146"/>
      <c r="K100" s="146"/>
      <c r="L100" s="146"/>
      <c r="M100" s="146"/>
      <c r="N100" s="146"/>
      <c r="O100" s="146"/>
      <c r="P100" s="146"/>
      <c r="Q100" s="146"/>
      <c r="R100" s="146"/>
      <c r="S100" s="146"/>
      <c r="T100" s="146"/>
      <c r="U100" s="146"/>
      <c r="V100" s="146"/>
      <c r="W100" s="146"/>
      <c r="X100" s="146"/>
      <c r="Y100" s="146"/>
      <c r="Z100" s="146"/>
      <c r="AA100" s="146"/>
    </row>
    <row r="101" spans="1:27" ht="15.75" customHeight="1" x14ac:dyDescent="0.25">
      <c r="A101" s="146"/>
      <c r="B101" s="146"/>
      <c r="C101" s="146"/>
      <c r="D101" s="146"/>
      <c r="E101" s="146"/>
      <c r="F101" s="146"/>
      <c r="G101" s="146"/>
      <c r="H101" s="146"/>
      <c r="I101" s="146"/>
      <c r="J101" s="146"/>
      <c r="K101" s="146"/>
      <c r="L101" s="146"/>
      <c r="M101" s="146"/>
      <c r="N101" s="146"/>
      <c r="O101" s="146"/>
      <c r="P101" s="146"/>
      <c r="Q101" s="146"/>
      <c r="R101" s="146"/>
      <c r="S101" s="146"/>
      <c r="T101" s="146"/>
      <c r="U101" s="146"/>
      <c r="V101" s="146"/>
      <c r="W101" s="146"/>
      <c r="X101" s="146"/>
      <c r="Y101" s="146"/>
      <c r="Z101" s="146"/>
      <c r="AA101" s="146"/>
    </row>
    <row r="102" spans="1:27" ht="15.75" customHeight="1" x14ac:dyDescent="0.25">
      <c r="A102" s="146"/>
      <c r="B102" s="146"/>
      <c r="C102" s="146"/>
      <c r="D102" s="146"/>
      <c r="E102" s="146"/>
      <c r="F102" s="146"/>
      <c r="G102" s="146"/>
      <c r="H102" s="146"/>
      <c r="I102" s="146"/>
      <c r="J102" s="146"/>
      <c r="K102" s="146"/>
      <c r="L102" s="146"/>
      <c r="M102" s="146"/>
      <c r="N102" s="146"/>
      <c r="O102" s="146"/>
      <c r="P102" s="146"/>
      <c r="Q102" s="146"/>
      <c r="R102" s="146"/>
      <c r="S102" s="146"/>
      <c r="T102" s="146"/>
      <c r="U102" s="146"/>
      <c r="V102" s="146"/>
      <c r="W102" s="146"/>
      <c r="X102" s="146"/>
      <c r="Y102" s="146"/>
      <c r="Z102" s="146"/>
      <c r="AA102" s="146"/>
    </row>
    <row r="103" spans="1:27" ht="15.75" customHeight="1" x14ac:dyDescent="0.25">
      <c r="A103" s="146"/>
      <c r="B103" s="146"/>
      <c r="C103" s="146"/>
      <c r="D103" s="146"/>
      <c r="E103" s="146"/>
      <c r="F103" s="146"/>
      <c r="G103" s="146"/>
      <c r="H103" s="146"/>
      <c r="I103" s="146"/>
      <c r="J103" s="146"/>
      <c r="K103" s="146"/>
      <c r="L103" s="146"/>
      <c r="M103" s="146"/>
      <c r="N103" s="146"/>
      <c r="O103" s="146"/>
      <c r="P103" s="146"/>
      <c r="Q103" s="146"/>
      <c r="R103" s="146"/>
      <c r="S103" s="146"/>
      <c r="T103" s="146"/>
      <c r="U103" s="146"/>
      <c r="V103" s="146"/>
      <c r="W103" s="146"/>
      <c r="X103" s="146"/>
      <c r="Y103" s="146"/>
      <c r="Z103" s="146"/>
      <c r="AA103" s="146"/>
    </row>
    <row r="104" spans="1:27" ht="15.75" customHeight="1" x14ac:dyDescent="0.25">
      <c r="A104" s="146"/>
      <c r="B104" s="146"/>
      <c r="C104" s="146"/>
      <c r="D104" s="146"/>
      <c r="E104" s="146"/>
      <c r="F104" s="146"/>
      <c r="G104" s="146"/>
      <c r="H104" s="146"/>
      <c r="I104" s="146"/>
      <c r="J104" s="146"/>
      <c r="K104" s="146"/>
      <c r="L104" s="146"/>
      <c r="M104" s="146"/>
      <c r="N104" s="146"/>
      <c r="O104" s="146"/>
      <c r="P104" s="146"/>
      <c r="Q104" s="146"/>
      <c r="R104" s="146"/>
      <c r="S104" s="146"/>
      <c r="T104" s="146"/>
      <c r="U104" s="146"/>
      <c r="V104" s="146"/>
      <c r="W104" s="146"/>
      <c r="X104" s="146"/>
      <c r="Y104" s="146"/>
      <c r="Z104" s="146"/>
      <c r="AA104" s="146"/>
    </row>
    <row r="105" spans="1:27" ht="15.75" customHeight="1" x14ac:dyDescent="0.25">
      <c r="A105" s="146"/>
      <c r="B105" s="146"/>
      <c r="C105" s="146"/>
      <c r="D105" s="146"/>
      <c r="E105" s="146"/>
      <c r="F105" s="146"/>
      <c r="G105" s="146"/>
      <c r="H105" s="146"/>
      <c r="I105" s="146"/>
      <c r="J105" s="146"/>
      <c r="K105" s="146"/>
      <c r="L105" s="146"/>
      <c r="M105" s="146"/>
      <c r="N105" s="146"/>
      <c r="O105" s="146"/>
      <c r="P105" s="146"/>
      <c r="Q105" s="146"/>
      <c r="R105" s="146"/>
      <c r="S105" s="146"/>
      <c r="T105" s="146"/>
      <c r="U105" s="146"/>
      <c r="V105" s="146"/>
      <c r="W105" s="146"/>
      <c r="X105" s="146"/>
      <c r="Y105" s="146"/>
      <c r="Z105" s="146"/>
      <c r="AA105" s="146"/>
    </row>
    <row r="106" spans="1:27" ht="15.75" customHeight="1" x14ac:dyDescent="0.25">
      <c r="A106" s="146"/>
      <c r="B106" s="146"/>
      <c r="C106" s="146"/>
      <c r="D106" s="146"/>
      <c r="E106" s="146"/>
      <c r="F106" s="146"/>
      <c r="G106" s="146"/>
      <c r="H106" s="146"/>
      <c r="I106" s="146"/>
      <c r="J106" s="146"/>
      <c r="K106" s="146"/>
      <c r="L106" s="146"/>
      <c r="M106" s="146"/>
      <c r="N106" s="146"/>
      <c r="O106" s="146"/>
      <c r="P106" s="146"/>
      <c r="Q106" s="146"/>
      <c r="R106" s="146"/>
      <c r="S106" s="146"/>
      <c r="T106" s="146"/>
      <c r="U106" s="146"/>
      <c r="V106" s="146"/>
      <c r="W106" s="146"/>
      <c r="X106" s="146"/>
      <c r="Y106" s="146"/>
      <c r="Z106" s="146"/>
      <c r="AA106" s="146"/>
    </row>
    <row r="107" spans="1:27" ht="15.75" customHeight="1" x14ac:dyDescent="0.25">
      <c r="A107" s="146"/>
      <c r="B107" s="146"/>
      <c r="C107" s="146"/>
      <c r="D107" s="146"/>
      <c r="E107" s="146"/>
      <c r="F107" s="146"/>
      <c r="G107" s="146"/>
      <c r="H107" s="146"/>
      <c r="I107" s="146"/>
      <c r="J107" s="146"/>
      <c r="K107" s="146"/>
      <c r="L107" s="146"/>
      <c r="M107" s="146"/>
      <c r="N107" s="146"/>
      <c r="O107" s="146"/>
      <c r="P107" s="146"/>
      <c r="Q107" s="146"/>
      <c r="R107" s="146"/>
      <c r="S107" s="146"/>
      <c r="T107" s="146"/>
      <c r="U107" s="146"/>
      <c r="V107" s="146"/>
      <c r="W107" s="146"/>
      <c r="X107" s="146"/>
      <c r="Y107" s="146"/>
      <c r="Z107" s="146"/>
      <c r="AA107" s="146"/>
    </row>
    <row r="108" spans="1:27" ht="15.75" customHeight="1" x14ac:dyDescent="0.25">
      <c r="A108" s="146"/>
      <c r="B108" s="146"/>
      <c r="C108" s="146"/>
      <c r="D108" s="146"/>
      <c r="E108" s="146"/>
      <c r="F108" s="146"/>
      <c r="G108" s="146"/>
      <c r="H108" s="146"/>
      <c r="I108" s="146"/>
      <c r="J108" s="146"/>
      <c r="K108" s="146"/>
      <c r="L108" s="146"/>
      <c r="M108" s="146"/>
      <c r="N108" s="146"/>
      <c r="O108" s="146"/>
      <c r="P108" s="146"/>
      <c r="Q108" s="146"/>
      <c r="R108" s="146"/>
      <c r="S108" s="146"/>
      <c r="T108" s="146"/>
      <c r="U108" s="146"/>
      <c r="V108" s="146"/>
      <c r="W108" s="146"/>
      <c r="X108" s="146"/>
      <c r="Y108" s="146"/>
      <c r="Z108" s="146"/>
      <c r="AA108" s="146"/>
    </row>
    <row r="109" spans="1:27" ht="15.75" customHeight="1" x14ac:dyDescent="0.25">
      <c r="A109" s="146"/>
      <c r="B109" s="146"/>
      <c r="C109" s="146"/>
      <c r="D109" s="146"/>
      <c r="E109" s="146"/>
      <c r="F109" s="146"/>
      <c r="G109" s="146"/>
      <c r="H109" s="146"/>
      <c r="I109" s="146"/>
      <c r="J109" s="146"/>
      <c r="K109" s="146"/>
      <c r="L109" s="146"/>
      <c r="M109" s="146"/>
      <c r="N109" s="146"/>
      <c r="O109" s="146"/>
      <c r="P109" s="146"/>
      <c r="Q109" s="146"/>
      <c r="R109" s="146"/>
      <c r="S109" s="146"/>
      <c r="T109" s="146"/>
      <c r="U109" s="146"/>
      <c r="V109" s="146"/>
      <c r="W109" s="146"/>
      <c r="X109" s="146"/>
      <c r="Y109" s="146"/>
      <c r="Z109" s="146"/>
      <c r="AA109" s="146"/>
    </row>
    <row r="110" spans="1:27" ht="15.75" customHeight="1" x14ac:dyDescent="0.25">
      <c r="A110" s="146"/>
      <c r="B110" s="146"/>
      <c r="C110" s="146"/>
      <c r="D110" s="146"/>
      <c r="E110" s="146"/>
      <c r="F110" s="146"/>
      <c r="G110" s="146"/>
      <c r="H110" s="146"/>
      <c r="I110" s="146"/>
      <c r="J110" s="146"/>
      <c r="K110" s="146"/>
      <c r="L110" s="146"/>
      <c r="M110" s="146"/>
      <c r="N110" s="146"/>
      <c r="O110" s="146"/>
      <c r="P110" s="146"/>
      <c r="Q110" s="146"/>
      <c r="R110" s="146"/>
      <c r="S110" s="146"/>
      <c r="T110" s="146"/>
      <c r="U110" s="146"/>
      <c r="V110" s="146"/>
      <c r="W110" s="146"/>
      <c r="X110" s="146"/>
      <c r="Y110" s="146"/>
      <c r="Z110" s="146"/>
      <c r="AA110" s="146"/>
    </row>
    <row r="111" spans="1:27" ht="15.75" customHeight="1" x14ac:dyDescent="0.25">
      <c r="A111" s="146"/>
      <c r="B111" s="146"/>
      <c r="C111" s="146"/>
      <c r="D111" s="146"/>
      <c r="E111" s="146"/>
      <c r="F111" s="146"/>
      <c r="G111" s="146"/>
      <c r="H111" s="146"/>
      <c r="I111" s="146"/>
      <c r="J111" s="146"/>
      <c r="K111" s="146"/>
      <c r="L111" s="146"/>
      <c r="M111" s="146"/>
      <c r="N111" s="146"/>
      <c r="O111" s="146"/>
      <c r="P111" s="146"/>
      <c r="Q111" s="146"/>
      <c r="R111" s="146"/>
      <c r="S111" s="146"/>
      <c r="T111" s="146"/>
      <c r="U111" s="146"/>
      <c r="V111" s="146"/>
      <c r="W111" s="146"/>
      <c r="X111" s="146"/>
      <c r="Y111" s="146"/>
      <c r="Z111" s="146"/>
      <c r="AA111" s="146"/>
    </row>
    <row r="112" spans="1:27" ht="15.75" customHeight="1" x14ac:dyDescent="0.25">
      <c r="A112" s="146"/>
      <c r="B112" s="146"/>
      <c r="C112" s="146"/>
      <c r="D112" s="146"/>
      <c r="E112" s="146"/>
      <c r="F112" s="146"/>
      <c r="G112" s="146"/>
      <c r="H112" s="146"/>
      <c r="I112" s="146"/>
      <c r="J112" s="146"/>
      <c r="K112" s="146"/>
      <c r="L112" s="146"/>
      <c r="M112" s="146"/>
      <c r="N112" s="146"/>
      <c r="O112" s="146"/>
      <c r="P112" s="146"/>
      <c r="Q112" s="146"/>
      <c r="R112" s="146"/>
      <c r="S112" s="146"/>
      <c r="T112" s="146"/>
      <c r="U112" s="146"/>
      <c r="V112" s="146"/>
      <c r="W112" s="146"/>
      <c r="X112" s="146"/>
      <c r="Y112" s="146"/>
      <c r="Z112" s="146"/>
      <c r="AA112" s="146"/>
    </row>
    <row r="113" spans="1:27" ht="15.75" customHeight="1" x14ac:dyDescent="0.25">
      <c r="A113" s="146"/>
      <c r="B113" s="146"/>
      <c r="C113" s="146"/>
      <c r="D113" s="146"/>
      <c r="E113" s="146"/>
      <c r="F113" s="146"/>
      <c r="G113" s="146"/>
      <c r="H113" s="146"/>
      <c r="I113" s="146"/>
      <c r="J113" s="146"/>
      <c r="K113" s="146"/>
      <c r="L113" s="146"/>
      <c r="M113" s="146"/>
      <c r="N113" s="146"/>
      <c r="O113" s="146"/>
      <c r="P113" s="146"/>
      <c r="Q113" s="146"/>
      <c r="R113" s="146"/>
      <c r="S113" s="146"/>
      <c r="T113" s="146"/>
      <c r="U113" s="146"/>
      <c r="V113" s="146"/>
      <c r="W113" s="146"/>
      <c r="X113" s="146"/>
      <c r="Y113" s="146"/>
      <c r="Z113" s="146"/>
      <c r="AA113" s="146"/>
    </row>
    <row r="114" spans="1:27" ht="15.75" customHeight="1" x14ac:dyDescent="0.25">
      <c r="A114" s="146"/>
      <c r="B114" s="146"/>
      <c r="C114" s="146"/>
      <c r="D114" s="146"/>
      <c r="E114" s="146"/>
      <c r="F114" s="146"/>
      <c r="G114" s="146"/>
      <c r="H114" s="146"/>
      <c r="I114" s="146"/>
      <c r="J114" s="146"/>
      <c r="K114" s="146"/>
      <c r="L114" s="146"/>
      <c r="M114" s="146"/>
      <c r="N114" s="146"/>
      <c r="O114" s="146"/>
      <c r="P114" s="146"/>
      <c r="Q114" s="146"/>
      <c r="R114" s="146"/>
      <c r="S114" s="146"/>
      <c r="T114" s="146"/>
      <c r="U114" s="146"/>
      <c r="V114" s="146"/>
      <c r="W114" s="146"/>
      <c r="X114" s="146"/>
      <c r="Y114" s="146"/>
      <c r="Z114" s="146"/>
      <c r="AA114" s="146"/>
    </row>
    <row r="115" spans="1:27" ht="15.75" customHeight="1" x14ac:dyDescent="0.25">
      <c r="A115" s="146"/>
      <c r="B115" s="146"/>
      <c r="C115" s="146"/>
      <c r="D115" s="146"/>
      <c r="E115" s="146"/>
      <c r="F115" s="146"/>
      <c r="G115" s="146"/>
      <c r="H115" s="146"/>
      <c r="I115" s="146"/>
      <c r="J115" s="146"/>
      <c r="K115" s="146"/>
      <c r="L115" s="146"/>
      <c r="M115" s="146"/>
      <c r="N115" s="146"/>
      <c r="O115" s="146"/>
      <c r="P115" s="146"/>
      <c r="Q115" s="146"/>
      <c r="R115" s="146"/>
      <c r="S115" s="146"/>
      <c r="T115" s="146"/>
      <c r="U115" s="146"/>
      <c r="V115" s="146"/>
      <c r="W115" s="146"/>
      <c r="X115" s="146"/>
      <c r="Y115" s="146"/>
      <c r="Z115" s="146"/>
      <c r="AA115" s="146"/>
    </row>
    <row r="116" spans="1:27" ht="15.75" customHeight="1" x14ac:dyDescent="0.25">
      <c r="A116" s="146"/>
      <c r="B116" s="146"/>
      <c r="C116" s="146"/>
      <c r="D116" s="146"/>
      <c r="E116" s="146"/>
      <c r="F116" s="146"/>
      <c r="G116" s="146"/>
      <c r="H116" s="146"/>
      <c r="I116" s="146"/>
      <c r="J116" s="146"/>
      <c r="K116" s="146"/>
      <c r="L116" s="146"/>
      <c r="M116" s="146"/>
      <c r="N116" s="146"/>
      <c r="O116" s="146"/>
      <c r="P116" s="146"/>
      <c r="Q116" s="146"/>
      <c r="R116" s="146"/>
      <c r="S116" s="146"/>
      <c r="T116" s="146"/>
      <c r="U116" s="146"/>
      <c r="V116" s="146"/>
      <c r="W116" s="146"/>
      <c r="X116" s="146"/>
      <c r="Y116" s="146"/>
      <c r="Z116" s="146"/>
      <c r="AA116" s="146"/>
    </row>
    <row r="117" spans="1:27" ht="15.75" customHeight="1" x14ac:dyDescent="0.25">
      <c r="A117" s="146"/>
      <c r="B117" s="146"/>
      <c r="C117" s="146"/>
      <c r="D117" s="146"/>
      <c r="E117" s="146"/>
      <c r="F117" s="146"/>
      <c r="G117" s="146"/>
      <c r="H117" s="146"/>
      <c r="I117" s="146"/>
      <c r="J117" s="146"/>
      <c r="K117" s="146"/>
      <c r="L117" s="146"/>
      <c r="M117" s="146"/>
      <c r="N117" s="146"/>
      <c r="O117" s="146"/>
      <c r="P117" s="146"/>
      <c r="Q117" s="146"/>
      <c r="R117" s="146"/>
      <c r="S117" s="146"/>
      <c r="T117" s="146"/>
      <c r="U117" s="146"/>
      <c r="V117" s="146"/>
      <c r="W117" s="146"/>
      <c r="X117" s="146"/>
      <c r="Y117" s="146"/>
      <c r="Z117" s="146"/>
      <c r="AA117" s="146"/>
    </row>
    <row r="118" spans="1:27" ht="15.75" customHeight="1" x14ac:dyDescent="0.25">
      <c r="A118" s="146"/>
      <c r="B118" s="146"/>
      <c r="C118" s="146"/>
      <c r="D118" s="146"/>
      <c r="E118" s="146"/>
      <c r="F118" s="146"/>
      <c r="G118" s="146"/>
      <c r="H118" s="146"/>
      <c r="I118" s="146"/>
      <c r="J118" s="146"/>
      <c r="K118" s="146"/>
      <c r="L118" s="146"/>
      <c r="M118" s="146"/>
      <c r="N118" s="146"/>
      <c r="O118" s="146"/>
      <c r="P118" s="146"/>
      <c r="Q118" s="146"/>
      <c r="R118" s="146"/>
      <c r="S118" s="146"/>
      <c r="T118" s="146"/>
      <c r="U118" s="146"/>
      <c r="V118" s="146"/>
      <c r="W118" s="146"/>
      <c r="X118" s="146"/>
      <c r="Y118" s="146"/>
      <c r="Z118" s="146"/>
      <c r="AA118" s="146"/>
    </row>
    <row r="119" spans="1:27" ht="15.75" customHeight="1" x14ac:dyDescent="0.25">
      <c r="A119" s="146"/>
      <c r="B119" s="146"/>
      <c r="C119" s="146"/>
      <c r="D119" s="146"/>
      <c r="E119" s="146"/>
      <c r="F119" s="146"/>
      <c r="G119" s="146"/>
      <c r="H119" s="146"/>
      <c r="I119" s="146"/>
      <c r="J119" s="146"/>
      <c r="K119" s="146"/>
      <c r="L119" s="146"/>
      <c r="M119" s="146"/>
      <c r="N119" s="146"/>
      <c r="O119" s="146"/>
      <c r="P119" s="146"/>
      <c r="Q119" s="146"/>
      <c r="R119" s="146"/>
      <c r="S119" s="146"/>
      <c r="T119" s="146"/>
      <c r="U119" s="146"/>
      <c r="V119" s="146"/>
      <c r="W119" s="146"/>
      <c r="X119" s="146"/>
      <c r="Y119" s="146"/>
      <c r="Z119" s="146"/>
      <c r="AA119" s="146"/>
    </row>
    <row r="120" spans="1:27" ht="15.75" customHeight="1" x14ac:dyDescent="0.25">
      <c r="A120" s="146"/>
      <c r="B120" s="146"/>
      <c r="C120" s="146"/>
      <c r="D120" s="146"/>
      <c r="E120" s="146"/>
      <c r="F120" s="146"/>
      <c r="G120" s="146"/>
      <c r="H120" s="146"/>
      <c r="I120" s="146"/>
      <c r="J120" s="146"/>
      <c r="K120" s="146"/>
      <c r="L120" s="146"/>
      <c r="M120" s="146"/>
      <c r="N120" s="146"/>
      <c r="O120" s="146"/>
      <c r="P120" s="146"/>
      <c r="Q120" s="146"/>
      <c r="R120" s="146"/>
      <c r="S120" s="146"/>
      <c r="T120" s="146"/>
      <c r="U120" s="146"/>
      <c r="V120" s="146"/>
      <c r="W120" s="146"/>
      <c r="X120" s="146"/>
      <c r="Y120" s="146"/>
      <c r="Z120" s="146"/>
      <c r="AA120" s="146"/>
    </row>
    <row r="121" spans="1:27" ht="15.75" customHeight="1" x14ac:dyDescent="0.25">
      <c r="A121" s="146"/>
      <c r="B121" s="146"/>
      <c r="C121" s="146"/>
      <c r="D121" s="146"/>
      <c r="E121" s="146"/>
      <c r="F121" s="146"/>
      <c r="G121" s="146"/>
      <c r="H121" s="146"/>
      <c r="I121" s="146"/>
      <c r="J121" s="146"/>
      <c r="K121" s="146"/>
      <c r="L121" s="146"/>
      <c r="M121" s="146"/>
      <c r="N121" s="146"/>
      <c r="O121" s="146"/>
      <c r="P121" s="146"/>
      <c r="Q121" s="146"/>
      <c r="R121" s="146"/>
      <c r="S121" s="146"/>
      <c r="T121" s="146"/>
      <c r="U121" s="146"/>
      <c r="V121" s="146"/>
      <c r="W121" s="146"/>
      <c r="X121" s="146"/>
      <c r="Y121" s="146"/>
      <c r="Z121" s="146"/>
      <c r="AA121" s="146"/>
    </row>
    <row r="122" spans="1:27" ht="15.75" customHeight="1" x14ac:dyDescent="0.25">
      <c r="A122" s="146"/>
      <c r="B122" s="146"/>
      <c r="C122" s="146"/>
      <c r="D122" s="146"/>
      <c r="E122" s="146"/>
      <c r="F122" s="146"/>
      <c r="G122" s="146"/>
      <c r="H122" s="146"/>
      <c r="I122" s="146"/>
      <c r="J122" s="146"/>
      <c r="K122" s="146"/>
      <c r="L122" s="146"/>
      <c r="M122" s="146"/>
      <c r="N122" s="146"/>
      <c r="O122" s="146"/>
      <c r="P122" s="146"/>
      <c r="Q122" s="146"/>
      <c r="R122" s="146"/>
      <c r="S122" s="146"/>
      <c r="T122" s="146"/>
      <c r="U122" s="146"/>
      <c r="V122" s="146"/>
      <c r="W122" s="146"/>
      <c r="X122" s="146"/>
      <c r="Y122" s="146"/>
      <c r="Z122" s="146"/>
      <c r="AA122" s="146"/>
    </row>
    <row r="123" spans="1:27" ht="15.75" customHeight="1" x14ac:dyDescent="0.25">
      <c r="A123" s="146"/>
      <c r="B123" s="146"/>
      <c r="C123" s="146"/>
      <c r="D123" s="146"/>
      <c r="E123" s="146"/>
      <c r="F123" s="146"/>
      <c r="G123" s="146"/>
      <c r="H123" s="146"/>
      <c r="I123" s="146"/>
      <c r="J123" s="146"/>
      <c r="K123" s="146"/>
      <c r="L123" s="146"/>
      <c r="M123" s="146"/>
      <c r="N123" s="146"/>
      <c r="O123" s="146"/>
      <c r="P123" s="146"/>
      <c r="Q123" s="146"/>
      <c r="R123" s="146"/>
      <c r="S123" s="146"/>
      <c r="T123" s="146"/>
      <c r="U123" s="146"/>
      <c r="V123" s="146"/>
      <c r="W123" s="146"/>
      <c r="X123" s="146"/>
      <c r="Y123" s="146"/>
      <c r="Z123" s="146"/>
      <c r="AA123" s="146"/>
    </row>
    <row r="124" spans="1:27" ht="15.75" customHeight="1" x14ac:dyDescent="0.25">
      <c r="A124" s="146"/>
      <c r="B124" s="146"/>
      <c r="C124" s="146"/>
      <c r="D124" s="146"/>
      <c r="E124" s="146"/>
      <c r="F124" s="146"/>
      <c r="G124" s="146"/>
      <c r="H124" s="146"/>
      <c r="I124" s="146"/>
      <c r="J124" s="146"/>
      <c r="K124" s="146"/>
      <c r="L124" s="146"/>
      <c r="M124" s="146"/>
      <c r="N124" s="146"/>
      <c r="O124" s="146"/>
      <c r="P124" s="146"/>
      <c r="Q124" s="146"/>
      <c r="R124" s="146"/>
      <c r="S124" s="146"/>
      <c r="T124" s="146"/>
      <c r="U124" s="146"/>
      <c r="V124" s="146"/>
      <c r="W124" s="146"/>
      <c r="X124" s="146"/>
      <c r="Y124" s="146"/>
      <c r="Z124" s="146"/>
      <c r="AA124" s="146"/>
    </row>
    <row r="125" spans="1:27" ht="15.75" customHeight="1" x14ac:dyDescent="0.25">
      <c r="A125" s="146"/>
      <c r="B125" s="146"/>
      <c r="C125" s="146"/>
      <c r="D125" s="146"/>
      <c r="E125" s="146"/>
      <c r="F125" s="146"/>
      <c r="G125" s="146"/>
      <c r="H125" s="146"/>
      <c r="I125" s="146"/>
      <c r="J125" s="146"/>
      <c r="K125" s="146"/>
      <c r="L125" s="146"/>
      <c r="M125" s="146"/>
      <c r="N125" s="146"/>
      <c r="O125" s="146"/>
      <c r="P125" s="146"/>
      <c r="Q125" s="146"/>
      <c r="R125" s="146"/>
      <c r="S125" s="146"/>
      <c r="T125" s="146"/>
      <c r="U125" s="146"/>
      <c r="V125" s="146"/>
      <c r="W125" s="146"/>
      <c r="X125" s="146"/>
      <c r="Y125" s="146"/>
      <c r="Z125" s="146"/>
      <c r="AA125" s="146"/>
    </row>
    <row r="126" spans="1:27" ht="15.75" customHeight="1" x14ac:dyDescent="0.25">
      <c r="A126" s="146"/>
      <c r="B126" s="146"/>
      <c r="C126" s="146"/>
      <c r="D126" s="146"/>
      <c r="E126" s="146"/>
      <c r="F126" s="146"/>
      <c r="G126" s="146"/>
      <c r="H126" s="146"/>
      <c r="I126" s="146"/>
      <c r="J126" s="146"/>
      <c r="K126" s="146"/>
      <c r="L126" s="146"/>
      <c r="M126" s="146"/>
      <c r="N126" s="146"/>
      <c r="O126" s="146"/>
      <c r="P126" s="146"/>
      <c r="Q126" s="146"/>
      <c r="R126" s="146"/>
      <c r="S126" s="146"/>
      <c r="T126" s="146"/>
      <c r="U126" s="146"/>
      <c r="V126" s="146"/>
      <c r="W126" s="146"/>
      <c r="X126" s="146"/>
      <c r="Y126" s="146"/>
      <c r="Z126" s="146"/>
      <c r="AA126" s="146"/>
    </row>
    <row r="127" spans="1:27" ht="15.75" customHeight="1" x14ac:dyDescent="0.25">
      <c r="A127" s="146"/>
      <c r="B127" s="146"/>
      <c r="C127" s="146"/>
      <c r="D127" s="146"/>
      <c r="E127" s="146"/>
      <c r="F127" s="146"/>
      <c r="G127" s="146"/>
      <c r="H127" s="146"/>
      <c r="I127" s="146"/>
      <c r="J127" s="146"/>
      <c r="K127" s="146"/>
      <c r="L127" s="146"/>
      <c r="M127" s="146"/>
      <c r="N127" s="146"/>
      <c r="O127" s="146"/>
      <c r="P127" s="146"/>
      <c r="Q127" s="146"/>
      <c r="R127" s="146"/>
      <c r="S127" s="146"/>
      <c r="T127" s="146"/>
      <c r="U127" s="146"/>
      <c r="V127" s="146"/>
      <c r="W127" s="146"/>
      <c r="X127" s="146"/>
      <c r="Y127" s="146"/>
      <c r="Z127" s="146"/>
      <c r="AA127" s="146"/>
    </row>
    <row r="128" spans="1:27" ht="15.75" customHeight="1" x14ac:dyDescent="0.25">
      <c r="A128" s="146"/>
      <c r="B128" s="146"/>
      <c r="C128" s="146"/>
      <c r="D128" s="146"/>
      <c r="E128" s="146"/>
      <c r="F128" s="146"/>
      <c r="G128" s="146"/>
      <c r="H128" s="146"/>
      <c r="I128" s="146"/>
      <c r="J128" s="146"/>
      <c r="K128" s="146"/>
      <c r="L128" s="146"/>
      <c r="M128" s="146"/>
      <c r="N128" s="146"/>
      <c r="O128" s="146"/>
      <c r="P128" s="146"/>
      <c r="Q128" s="146"/>
      <c r="R128" s="146"/>
      <c r="S128" s="146"/>
      <c r="T128" s="146"/>
      <c r="U128" s="146"/>
      <c r="V128" s="146"/>
      <c r="W128" s="146"/>
      <c r="X128" s="146"/>
      <c r="Y128" s="146"/>
      <c r="Z128" s="146"/>
      <c r="AA128" s="146"/>
    </row>
    <row r="129" spans="1:27" ht="15.75" customHeight="1" x14ac:dyDescent="0.25">
      <c r="A129" s="146"/>
      <c r="B129" s="146"/>
      <c r="C129" s="146"/>
      <c r="D129" s="146"/>
      <c r="E129" s="146"/>
      <c r="F129" s="146"/>
      <c r="G129" s="146"/>
      <c r="H129" s="146"/>
      <c r="I129" s="146"/>
      <c r="J129" s="146"/>
      <c r="K129" s="146"/>
      <c r="L129" s="146"/>
      <c r="M129" s="146"/>
      <c r="N129" s="146"/>
      <c r="O129" s="146"/>
      <c r="P129" s="146"/>
      <c r="Q129" s="146"/>
      <c r="R129" s="146"/>
      <c r="S129" s="146"/>
      <c r="T129" s="146"/>
      <c r="U129" s="146"/>
      <c r="V129" s="146"/>
      <c r="W129" s="146"/>
      <c r="X129" s="146"/>
      <c r="Y129" s="146"/>
      <c r="Z129" s="146"/>
      <c r="AA129" s="146"/>
    </row>
    <row r="130" spans="1:27" ht="15.75" customHeight="1" x14ac:dyDescent="0.25">
      <c r="A130" s="146"/>
      <c r="B130" s="146"/>
      <c r="C130" s="146"/>
      <c r="D130" s="146"/>
      <c r="E130" s="146"/>
      <c r="F130" s="146"/>
      <c r="G130" s="146"/>
      <c r="H130" s="146"/>
      <c r="I130" s="146"/>
      <c r="J130" s="146"/>
      <c r="K130" s="146"/>
      <c r="L130" s="146"/>
      <c r="M130" s="146"/>
      <c r="N130" s="146"/>
      <c r="O130" s="146"/>
      <c r="P130" s="146"/>
      <c r="Q130" s="146"/>
      <c r="R130" s="146"/>
      <c r="S130" s="146"/>
      <c r="T130" s="146"/>
      <c r="U130" s="146"/>
      <c r="V130" s="146"/>
      <c r="W130" s="146"/>
      <c r="X130" s="146"/>
      <c r="Y130" s="146"/>
      <c r="Z130" s="146"/>
      <c r="AA130" s="146"/>
    </row>
    <row r="131" spans="1:27" ht="15.75" customHeight="1" x14ac:dyDescent="0.25">
      <c r="A131" s="146"/>
      <c r="B131" s="146"/>
      <c r="C131" s="146"/>
      <c r="D131" s="146"/>
      <c r="E131" s="146"/>
      <c r="F131" s="146"/>
      <c r="G131" s="146"/>
      <c r="H131" s="146"/>
      <c r="I131" s="146"/>
      <c r="J131" s="146"/>
      <c r="K131" s="146"/>
      <c r="L131" s="146"/>
      <c r="M131" s="146"/>
      <c r="N131" s="146"/>
      <c r="O131" s="146"/>
      <c r="P131" s="146"/>
      <c r="Q131" s="146"/>
      <c r="R131" s="146"/>
      <c r="S131" s="146"/>
      <c r="T131" s="146"/>
      <c r="U131" s="146"/>
      <c r="V131" s="146"/>
      <c r="W131" s="146"/>
      <c r="X131" s="146"/>
      <c r="Y131" s="146"/>
      <c r="Z131" s="146"/>
      <c r="AA131" s="146"/>
    </row>
    <row r="132" spans="1:27" ht="15.75" customHeight="1" x14ac:dyDescent="0.25">
      <c r="A132" s="146"/>
      <c r="B132" s="146"/>
      <c r="C132" s="146"/>
      <c r="D132" s="146"/>
      <c r="E132" s="146"/>
      <c r="F132" s="146"/>
      <c r="G132" s="146"/>
      <c r="H132" s="146"/>
      <c r="I132" s="146"/>
      <c r="J132" s="146"/>
      <c r="K132" s="146"/>
      <c r="L132" s="146"/>
      <c r="M132" s="146"/>
      <c r="N132" s="146"/>
      <c r="O132" s="146"/>
      <c r="P132" s="146"/>
      <c r="Q132" s="146"/>
      <c r="R132" s="146"/>
      <c r="S132" s="146"/>
      <c r="T132" s="146"/>
      <c r="U132" s="146"/>
      <c r="V132" s="146"/>
      <c r="W132" s="146"/>
      <c r="X132" s="146"/>
      <c r="Y132" s="146"/>
      <c r="Z132" s="146"/>
      <c r="AA132" s="146"/>
    </row>
    <row r="133" spans="1:27" ht="15.75" customHeight="1" x14ac:dyDescent="0.25">
      <c r="A133" s="146"/>
      <c r="B133" s="146"/>
      <c r="C133" s="146"/>
      <c r="D133" s="146"/>
      <c r="E133" s="146"/>
      <c r="F133" s="146"/>
      <c r="G133" s="146"/>
      <c r="H133" s="146"/>
      <c r="I133" s="146"/>
      <c r="J133" s="146"/>
      <c r="K133" s="146"/>
      <c r="L133" s="146"/>
      <c r="M133" s="146"/>
      <c r="N133" s="146"/>
      <c r="O133" s="146"/>
      <c r="P133" s="146"/>
      <c r="Q133" s="146"/>
      <c r="R133" s="146"/>
      <c r="S133" s="146"/>
      <c r="T133" s="146"/>
      <c r="U133" s="146"/>
      <c r="V133" s="146"/>
      <c r="W133" s="146"/>
      <c r="X133" s="146"/>
      <c r="Y133" s="146"/>
      <c r="Z133" s="146"/>
      <c r="AA133" s="146"/>
    </row>
    <row r="134" spans="1:27" ht="15.75" customHeight="1" x14ac:dyDescent="0.25">
      <c r="A134" s="146"/>
      <c r="B134" s="146"/>
      <c r="C134" s="146"/>
      <c r="D134" s="146"/>
      <c r="E134" s="146"/>
      <c r="F134" s="146"/>
      <c r="G134" s="146"/>
      <c r="H134" s="146"/>
      <c r="I134" s="146"/>
      <c r="J134" s="146"/>
      <c r="K134" s="146"/>
      <c r="L134" s="146"/>
      <c r="M134" s="146"/>
      <c r="N134" s="146"/>
      <c r="O134" s="146"/>
      <c r="P134" s="146"/>
      <c r="Q134" s="146"/>
      <c r="R134" s="146"/>
      <c r="S134" s="146"/>
      <c r="T134" s="146"/>
      <c r="U134" s="146"/>
      <c r="V134" s="146"/>
      <c r="W134" s="146"/>
      <c r="X134" s="146"/>
      <c r="Y134" s="146"/>
      <c r="Z134" s="146"/>
      <c r="AA134" s="146"/>
    </row>
    <row r="135" spans="1:27" ht="15.75" customHeight="1" x14ac:dyDescent="0.25">
      <c r="A135" s="146"/>
      <c r="B135" s="146"/>
      <c r="C135" s="146"/>
      <c r="D135" s="146"/>
      <c r="E135" s="146"/>
      <c r="F135" s="146"/>
      <c r="G135" s="146"/>
      <c r="H135" s="146"/>
      <c r="I135" s="146"/>
      <c r="J135" s="146"/>
      <c r="K135" s="146"/>
      <c r="L135" s="146"/>
      <c r="M135" s="146"/>
      <c r="N135" s="146"/>
      <c r="O135" s="146"/>
      <c r="P135" s="146"/>
      <c r="Q135" s="146"/>
      <c r="R135" s="146"/>
      <c r="S135" s="146"/>
      <c r="T135" s="146"/>
      <c r="U135" s="146"/>
      <c r="V135" s="146"/>
      <c r="W135" s="146"/>
      <c r="X135" s="146"/>
      <c r="Y135" s="146"/>
      <c r="Z135" s="146"/>
      <c r="AA135" s="146"/>
    </row>
    <row r="136" spans="1:27" ht="15.75" customHeight="1" x14ac:dyDescent="0.25">
      <c r="A136" s="146"/>
      <c r="B136" s="146"/>
      <c r="C136" s="146"/>
      <c r="D136" s="146"/>
      <c r="E136" s="146"/>
      <c r="F136" s="146"/>
      <c r="G136" s="146"/>
      <c r="H136" s="146"/>
      <c r="I136" s="146"/>
      <c r="J136" s="146"/>
      <c r="K136" s="146"/>
      <c r="L136" s="146"/>
      <c r="M136" s="146"/>
      <c r="N136" s="146"/>
      <c r="O136" s="146"/>
      <c r="P136" s="146"/>
      <c r="Q136" s="146"/>
      <c r="R136" s="146"/>
      <c r="S136" s="146"/>
      <c r="T136" s="146"/>
      <c r="U136" s="146"/>
      <c r="V136" s="146"/>
      <c r="W136" s="146"/>
      <c r="X136" s="146"/>
      <c r="Y136" s="146"/>
      <c r="Z136" s="146"/>
      <c r="AA136" s="146"/>
    </row>
    <row r="137" spans="1:27" ht="15.75" customHeight="1" x14ac:dyDescent="0.25">
      <c r="A137" s="146"/>
      <c r="B137" s="146"/>
      <c r="C137" s="146"/>
      <c r="D137" s="146"/>
      <c r="E137" s="146"/>
      <c r="F137" s="146"/>
      <c r="G137" s="146"/>
      <c r="H137" s="146"/>
      <c r="I137" s="146"/>
      <c r="J137" s="146"/>
      <c r="K137" s="146"/>
      <c r="L137" s="146"/>
      <c r="M137" s="146"/>
      <c r="N137" s="146"/>
      <c r="O137" s="146"/>
      <c r="P137" s="146"/>
      <c r="Q137" s="146"/>
      <c r="R137" s="146"/>
      <c r="S137" s="146"/>
      <c r="T137" s="146"/>
      <c r="U137" s="146"/>
      <c r="V137" s="146"/>
      <c r="W137" s="146"/>
      <c r="X137" s="146"/>
      <c r="Y137" s="146"/>
      <c r="Z137" s="146"/>
      <c r="AA137" s="146"/>
    </row>
    <row r="138" spans="1:27" ht="15.75" customHeight="1" x14ac:dyDescent="0.25">
      <c r="A138" s="146"/>
      <c r="B138" s="146"/>
      <c r="C138" s="146"/>
      <c r="D138" s="146"/>
      <c r="E138" s="146"/>
      <c r="F138" s="146"/>
      <c r="G138" s="146"/>
      <c r="H138" s="146"/>
      <c r="I138" s="146"/>
      <c r="J138" s="146"/>
      <c r="K138" s="146"/>
      <c r="L138" s="146"/>
      <c r="M138" s="146"/>
      <c r="N138" s="146"/>
      <c r="O138" s="146"/>
      <c r="P138" s="146"/>
      <c r="Q138" s="146"/>
      <c r="R138" s="146"/>
      <c r="S138" s="146"/>
      <c r="T138" s="146"/>
      <c r="U138" s="146"/>
      <c r="V138" s="146"/>
      <c r="W138" s="146"/>
      <c r="X138" s="146"/>
      <c r="Y138" s="146"/>
      <c r="Z138" s="146"/>
      <c r="AA138" s="146"/>
    </row>
    <row r="139" spans="1:27" ht="15.75" customHeight="1" x14ac:dyDescent="0.25">
      <c r="A139" s="146"/>
      <c r="B139" s="146"/>
      <c r="C139" s="146"/>
      <c r="D139" s="146"/>
      <c r="E139" s="146"/>
      <c r="F139" s="146"/>
      <c r="G139" s="146"/>
      <c r="H139" s="146"/>
      <c r="I139" s="146"/>
      <c r="J139" s="146"/>
      <c r="K139" s="146"/>
      <c r="L139" s="146"/>
      <c r="M139" s="146"/>
      <c r="N139" s="146"/>
      <c r="O139" s="146"/>
      <c r="P139" s="146"/>
      <c r="Q139" s="146"/>
      <c r="R139" s="146"/>
      <c r="S139" s="146"/>
      <c r="T139" s="146"/>
      <c r="U139" s="146"/>
      <c r="V139" s="146"/>
      <c r="W139" s="146"/>
      <c r="X139" s="146"/>
      <c r="Y139" s="146"/>
      <c r="Z139" s="146"/>
      <c r="AA139" s="146"/>
    </row>
    <row r="140" spans="1:27" ht="15.75" customHeight="1" x14ac:dyDescent="0.25">
      <c r="A140" s="146"/>
      <c r="B140" s="146"/>
      <c r="C140" s="146"/>
      <c r="D140" s="146"/>
      <c r="E140" s="146"/>
      <c r="F140" s="146"/>
      <c r="G140" s="146"/>
      <c r="H140" s="146"/>
      <c r="I140" s="146"/>
      <c r="J140" s="146"/>
      <c r="K140" s="146"/>
      <c r="L140" s="146"/>
      <c r="M140" s="146"/>
      <c r="N140" s="146"/>
      <c r="O140" s="146"/>
      <c r="P140" s="146"/>
      <c r="Q140" s="146"/>
      <c r="R140" s="146"/>
      <c r="S140" s="146"/>
      <c r="T140" s="146"/>
      <c r="U140" s="146"/>
      <c r="V140" s="146"/>
      <c r="W140" s="146"/>
      <c r="X140" s="146"/>
      <c r="Y140" s="146"/>
      <c r="Z140" s="146"/>
      <c r="AA140" s="146"/>
    </row>
    <row r="141" spans="1:27" ht="15.75" customHeight="1" x14ac:dyDescent="0.25">
      <c r="A141" s="146"/>
      <c r="B141" s="146"/>
      <c r="C141" s="146"/>
      <c r="D141" s="146"/>
      <c r="E141" s="146"/>
      <c r="F141" s="146"/>
      <c r="G141" s="146"/>
      <c r="H141" s="146"/>
      <c r="I141" s="146"/>
      <c r="J141" s="146"/>
      <c r="K141" s="146"/>
      <c r="L141" s="146"/>
      <c r="M141" s="146"/>
      <c r="N141" s="146"/>
      <c r="O141" s="146"/>
      <c r="P141" s="146"/>
      <c r="Q141" s="146"/>
      <c r="R141" s="146"/>
      <c r="S141" s="146"/>
      <c r="T141" s="146"/>
      <c r="U141" s="146"/>
      <c r="V141" s="146"/>
      <c r="W141" s="146"/>
      <c r="X141" s="146"/>
      <c r="Y141" s="146"/>
      <c r="Z141" s="146"/>
      <c r="AA141" s="146"/>
    </row>
    <row r="142" spans="1:27" ht="15.75" customHeight="1" x14ac:dyDescent="0.25">
      <c r="A142" s="146"/>
      <c r="B142" s="146"/>
      <c r="C142" s="146"/>
      <c r="D142" s="146"/>
      <c r="E142" s="146"/>
      <c r="F142" s="146"/>
      <c r="G142" s="146"/>
      <c r="H142" s="146"/>
      <c r="I142" s="146"/>
      <c r="J142" s="146"/>
      <c r="K142" s="146"/>
      <c r="L142" s="146"/>
      <c r="M142" s="146"/>
      <c r="N142" s="146"/>
      <c r="O142" s="146"/>
      <c r="P142" s="146"/>
      <c r="Q142" s="146"/>
      <c r="R142" s="146"/>
      <c r="S142" s="146"/>
      <c r="T142" s="146"/>
      <c r="U142" s="146"/>
      <c r="V142" s="146"/>
      <c r="W142" s="146"/>
      <c r="X142" s="146"/>
      <c r="Y142" s="146"/>
      <c r="Z142" s="146"/>
      <c r="AA142" s="146"/>
    </row>
    <row r="143" spans="1:27" ht="15.75" customHeight="1" x14ac:dyDescent="0.25">
      <c r="A143" s="146"/>
      <c r="B143" s="146"/>
      <c r="C143" s="146"/>
      <c r="D143" s="146"/>
      <c r="E143" s="146"/>
      <c r="F143" s="146"/>
      <c r="G143" s="146"/>
      <c r="H143" s="146"/>
      <c r="I143" s="146"/>
      <c r="J143" s="146"/>
      <c r="K143" s="146"/>
      <c r="L143" s="146"/>
      <c r="M143" s="146"/>
      <c r="N143" s="146"/>
      <c r="O143" s="146"/>
      <c r="P143" s="146"/>
      <c r="Q143" s="146"/>
      <c r="R143" s="146"/>
      <c r="S143" s="146"/>
      <c r="T143" s="146"/>
      <c r="U143" s="146"/>
      <c r="V143" s="146"/>
      <c r="W143" s="146"/>
      <c r="X143" s="146"/>
      <c r="Y143" s="146"/>
      <c r="Z143" s="146"/>
      <c r="AA143" s="146"/>
    </row>
    <row r="144" spans="1:27" ht="15.75" customHeight="1" x14ac:dyDescent="0.25">
      <c r="A144" s="146"/>
      <c r="B144" s="146"/>
      <c r="C144" s="146"/>
      <c r="D144" s="146"/>
      <c r="E144" s="146"/>
      <c r="F144" s="146"/>
      <c r="G144" s="146"/>
      <c r="H144" s="146"/>
      <c r="I144" s="146"/>
      <c r="J144" s="146"/>
      <c r="K144" s="146"/>
      <c r="L144" s="146"/>
      <c r="M144" s="146"/>
      <c r="N144" s="146"/>
      <c r="O144" s="146"/>
      <c r="P144" s="146"/>
      <c r="Q144" s="146"/>
      <c r="R144" s="146"/>
      <c r="S144" s="146"/>
      <c r="T144" s="146"/>
      <c r="U144" s="146"/>
      <c r="V144" s="146"/>
      <c r="W144" s="146"/>
      <c r="X144" s="146"/>
      <c r="Y144" s="146"/>
      <c r="Z144" s="146"/>
      <c r="AA144" s="146"/>
    </row>
    <row r="145" spans="1:27" ht="15.75" customHeight="1" x14ac:dyDescent="0.25">
      <c r="A145" s="146"/>
      <c r="B145" s="146"/>
      <c r="C145" s="146"/>
      <c r="D145" s="146"/>
      <c r="E145" s="146"/>
      <c r="F145" s="146"/>
      <c r="G145" s="146"/>
      <c r="H145" s="146"/>
      <c r="I145" s="146"/>
      <c r="J145" s="146"/>
      <c r="K145" s="146"/>
      <c r="L145" s="146"/>
      <c r="M145" s="146"/>
      <c r="N145" s="146"/>
      <c r="O145" s="146"/>
      <c r="P145" s="146"/>
      <c r="Q145" s="146"/>
      <c r="R145" s="146"/>
      <c r="S145" s="146"/>
      <c r="T145" s="146"/>
      <c r="U145" s="146"/>
      <c r="V145" s="146"/>
      <c r="W145" s="146"/>
      <c r="X145" s="146"/>
      <c r="Y145" s="146"/>
      <c r="Z145" s="146"/>
      <c r="AA145" s="146"/>
    </row>
    <row r="146" spans="1:27" ht="15.75" customHeight="1" x14ac:dyDescent="0.25">
      <c r="A146" s="146"/>
      <c r="B146" s="146"/>
      <c r="C146" s="146"/>
      <c r="D146" s="146"/>
      <c r="E146" s="146"/>
      <c r="F146" s="146"/>
      <c r="G146" s="146"/>
      <c r="H146" s="146"/>
      <c r="I146" s="146"/>
      <c r="J146" s="146"/>
      <c r="K146" s="146"/>
      <c r="L146" s="146"/>
      <c r="M146" s="146"/>
      <c r="N146" s="146"/>
      <c r="O146" s="146"/>
      <c r="P146" s="146"/>
      <c r="Q146" s="146"/>
      <c r="R146" s="146"/>
      <c r="S146" s="146"/>
      <c r="T146" s="146"/>
      <c r="U146" s="146"/>
      <c r="V146" s="146"/>
      <c r="W146" s="146"/>
      <c r="X146" s="146"/>
      <c r="Y146" s="146"/>
      <c r="Z146" s="146"/>
      <c r="AA146" s="146"/>
    </row>
    <row r="147" spans="1:27" ht="15.75" customHeight="1" x14ac:dyDescent="0.25">
      <c r="A147" s="146"/>
      <c r="B147" s="146"/>
      <c r="C147" s="146"/>
      <c r="D147" s="146"/>
      <c r="E147" s="146"/>
      <c r="F147" s="146"/>
      <c r="G147" s="146"/>
      <c r="H147" s="146"/>
      <c r="I147" s="146"/>
      <c r="J147" s="146"/>
      <c r="K147" s="146"/>
      <c r="L147" s="146"/>
      <c r="M147" s="146"/>
      <c r="N147" s="146"/>
      <c r="O147" s="146"/>
      <c r="P147" s="146"/>
      <c r="Q147" s="146"/>
      <c r="R147" s="146"/>
      <c r="S147" s="146"/>
      <c r="T147" s="146"/>
      <c r="U147" s="146"/>
      <c r="V147" s="146"/>
      <c r="W147" s="146"/>
      <c r="X147" s="146"/>
      <c r="Y147" s="146"/>
      <c r="Z147" s="146"/>
      <c r="AA147" s="146"/>
    </row>
    <row r="148" spans="1:27" ht="15.75" customHeight="1" x14ac:dyDescent="0.25">
      <c r="A148" s="146"/>
      <c r="B148" s="146"/>
      <c r="C148" s="146"/>
      <c r="D148" s="146"/>
      <c r="E148" s="146"/>
      <c r="F148" s="146"/>
      <c r="G148" s="146"/>
      <c r="H148" s="146"/>
      <c r="I148" s="146"/>
      <c r="J148" s="146"/>
      <c r="K148" s="146"/>
      <c r="L148" s="146"/>
      <c r="M148" s="146"/>
      <c r="N148" s="146"/>
      <c r="O148" s="146"/>
      <c r="P148" s="146"/>
      <c r="Q148" s="146"/>
      <c r="R148" s="146"/>
      <c r="S148" s="146"/>
      <c r="T148" s="146"/>
      <c r="U148" s="146"/>
      <c r="V148" s="146"/>
      <c r="W148" s="146"/>
      <c r="X148" s="146"/>
      <c r="Y148" s="146"/>
      <c r="Z148" s="146"/>
      <c r="AA148" s="146"/>
    </row>
    <row r="149" spans="1:27" ht="15.75" customHeight="1" x14ac:dyDescent="0.25">
      <c r="A149" s="146"/>
      <c r="B149" s="146"/>
      <c r="C149" s="146"/>
      <c r="D149" s="146"/>
      <c r="E149" s="146"/>
      <c r="F149" s="146"/>
      <c r="G149" s="146"/>
      <c r="H149" s="146"/>
      <c r="I149" s="146"/>
      <c r="J149" s="146"/>
      <c r="K149" s="146"/>
      <c r="L149" s="146"/>
      <c r="M149" s="146"/>
      <c r="N149" s="146"/>
      <c r="O149" s="146"/>
      <c r="P149" s="146"/>
      <c r="Q149" s="146"/>
      <c r="R149" s="146"/>
      <c r="S149" s="146"/>
      <c r="T149" s="146"/>
      <c r="U149" s="146"/>
      <c r="V149" s="146"/>
      <c r="W149" s="146"/>
      <c r="X149" s="146"/>
      <c r="Y149" s="146"/>
      <c r="Z149" s="146"/>
      <c r="AA149" s="146"/>
    </row>
    <row r="150" spans="1:27" ht="15.75" customHeight="1" x14ac:dyDescent="0.25">
      <c r="A150" s="146"/>
      <c r="B150" s="146"/>
      <c r="C150" s="146"/>
      <c r="D150" s="146"/>
      <c r="E150" s="146"/>
      <c r="F150" s="146"/>
      <c r="G150" s="146"/>
      <c r="H150" s="146"/>
      <c r="I150" s="146"/>
      <c r="J150" s="146"/>
      <c r="K150" s="146"/>
      <c r="L150" s="146"/>
      <c r="M150" s="146"/>
      <c r="N150" s="146"/>
      <c r="O150" s="146"/>
      <c r="P150" s="146"/>
      <c r="Q150" s="146"/>
      <c r="R150" s="146"/>
      <c r="S150" s="146"/>
      <c r="T150" s="146"/>
      <c r="U150" s="146"/>
      <c r="V150" s="146"/>
      <c r="W150" s="146"/>
      <c r="X150" s="146"/>
      <c r="Y150" s="146"/>
      <c r="Z150" s="146"/>
      <c r="AA150" s="146"/>
    </row>
    <row r="151" spans="1:27" ht="15.75" customHeight="1" x14ac:dyDescent="0.25">
      <c r="A151" s="146"/>
      <c r="B151" s="146"/>
      <c r="C151" s="146"/>
      <c r="D151" s="146"/>
      <c r="E151" s="146"/>
      <c r="F151" s="146"/>
      <c r="G151" s="146"/>
      <c r="H151" s="146"/>
      <c r="I151" s="146"/>
      <c r="J151" s="146"/>
      <c r="K151" s="146"/>
      <c r="L151" s="146"/>
      <c r="M151" s="146"/>
      <c r="N151" s="146"/>
      <c r="O151" s="146"/>
      <c r="P151" s="146"/>
      <c r="Q151" s="146"/>
      <c r="R151" s="146"/>
      <c r="S151" s="146"/>
      <c r="T151" s="146"/>
      <c r="U151" s="146"/>
      <c r="V151" s="146"/>
      <c r="W151" s="146"/>
      <c r="X151" s="146"/>
      <c r="Y151" s="146"/>
      <c r="Z151" s="146"/>
      <c r="AA151" s="146"/>
    </row>
    <row r="152" spans="1:27" ht="15.75" customHeight="1" x14ac:dyDescent="0.25">
      <c r="A152" s="146"/>
      <c r="B152" s="146"/>
      <c r="C152" s="146"/>
      <c r="D152" s="146"/>
      <c r="E152" s="146"/>
      <c r="F152" s="146"/>
      <c r="G152" s="146"/>
      <c r="H152" s="146"/>
      <c r="I152" s="146"/>
      <c r="J152" s="146"/>
      <c r="K152" s="146"/>
      <c r="L152" s="146"/>
      <c r="M152" s="146"/>
      <c r="N152" s="146"/>
      <c r="O152" s="146"/>
      <c r="P152" s="146"/>
      <c r="Q152" s="146"/>
      <c r="R152" s="146"/>
      <c r="S152" s="146"/>
      <c r="T152" s="146"/>
      <c r="U152" s="146"/>
      <c r="V152" s="146"/>
      <c r="W152" s="146"/>
      <c r="X152" s="146"/>
      <c r="Y152" s="146"/>
      <c r="Z152" s="146"/>
      <c r="AA152" s="146"/>
    </row>
    <row r="153" spans="1:27" ht="15.75" customHeight="1" x14ac:dyDescent="0.25">
      <c r="A153" s="146"/>
      <c r="B153" s="146"/>
      <c r="C153" s="146"/>
      <c r="D153" s="146"/>
      <c r="E153" s="146"/>
      <c r="F153" s="146"/>
      <c r="G153" s="146"/>
      <c r="H153" s="146"/>
      <c r="I153" s="146"/>
      <c r="J153" s="146"/>
      <c r="K153" s="146"/>
      <c r="L153" s="146"/>
      <c r="M153" s="146"/>
      <c r="N153" s="146"/>
      <c r="O153" s="146"/>
      <c r="P153" s="146"/>
      <c r="Q153" s="146"/>
      <c r="R153" s="146"/>
      <c r="S153" s="146"/>
      <c r="T153" s="146"/>
      <c r="U153" s="146"/>
      <c r="V153" s="146"/>
      <c r="W153" s="146"/>
      <c r="X153" s="146"/>
      <c r="Y153" s="146"/>
      <c r="Z153" s="146"/>
      <c r="AA153" s="146"/>
    </row>
    <row r="154" spans="1:27" ht="15.75" customHeight="1" x14ac:dyDescent="0.25">
      <c r="A154" s="146"/>
      <c r="B154" s="146"/>
      <c r="C154" s="146"/>
      <c r="D154" s="146"/>
      <c r="E154" s="146"/>
      <c r="F154" s="146"/>
      <c r="G154" s="146"/>
      <c r="H154" s="146"/>
      <c r="I154" s="146"/>
      <c r="J154" s="146"/>
      <c r="K154" s="146"/>
      <c r="L154" s="146"/>
      <c r="M154" s="146"/>
      <c r="N154" s="146"/>
      <c r="O154" s="146"/>
      <c r="P154" s="146"/>
      <c r="Q154" s="146"/>
      <c r="R154" s="146"/>
      <c r="S154" s="146"/>
      <c r="T154" s="146"/>
      <c r="U154" s="146"/>
      <c r="V154" s="146"/>
      <c r="W154" s="146"/>
      <c r="X154" s="146"/>
      <c r="Y154" s="146"/>
      <c r="Z154" s="146"/>
      <c r="AA154" s="146"/>
    </row>
    <row r="155" spans="1:27" ht="15.75" customHeight="1" x14ac:dyDescent="0.25">
      <c r="A155" s="146"/>
      <c r="B155" s="146"/>
      <c r="C155" s="146"/>
      <c r="D155" s="146"/>
      <c r="E155" s="146"/>
      <c r="F155" s="146"/>
      <c r="G155" s="146"/>
      <c r="H155" s="146"/>
      <c r="I155" s="146"/>
      <c r="J155" s="146"/>
      <c r="K155" s="146"/>
      <c r="L155" s="146"/>
      <c r="M155" s="146"/>
      <c r="N155" s="146"/>
      <c r="O155" s="146"/>
      <c r="P155" s="146"/>
      <c r="Q155" s="146"/>
      <c r="R155" s="146"/>
      <c r="S155" s="146"/>
      <c r="T155" s="146"/>
      <c r="U155" s="146"/>
      <c r="V155" s="146"/>
      <c r="W155" s="146"/>
      <c r="X155" s="146"/>
      <c r="Y155" s="146"/>
      <c r="Z155" s="146"/>
      <c r="AA155" s="146"/>
    </row>
    <row r="156" spans="1:27" ht="15.75" customHeight="1" x14ac:dyDescent="0.25">
      <c r="A156" s="146"/>
      <c r="B156" s="146"/>
      <c r="C156" s="146"/>
      <c r="D156" s="146"/>
      <c r="E156" s="146"/>
      <c r="F156" s="146"/>
      <c r="G156" s="146"/>
      <c r="H156" s="146"/>
      <c r="I156" s="146"/>
      <c r="J156" s="146"/>
      <c r="K156" s="146"/>
      <c r="L156" s="146"/>
      <c r="M156" s="146"/>
      <c r="N156" s="146"/>
      <c r="O156" s="146"/>
      <c r="P156" s="146"/>
      <c r="Q156" s="146"/>
      <c r="R156" s="146"/>
      <c r="S156" s="146"/>
      <c r="T156" s="146"/>
      <c r="U156" s="146"/>
      <c r="V156" s="146"/>
      <c r="W156" s="146"/>
      <c r="X156" s="146"/>
      <c r="Y156" s="146"/>
      <c r="Z156" s="146"/>
      <c r="AA156" s="146"/>
    </row>
    <row r="157" spans="1:27" ht="15.75" customHeight="1" x14ac:dyDescent="0.25">
      <c r="A157" s="146"/>
      <c r="B157" s="146"/>
      <c r="C157" s="146"/>
      <c r="D157" s="146"/>
      <c r="E157" s="146"/>
      <c r="F157" s="146"/>
      <c r="G157" s="146"/>
      <c r="H157" s="146"/>
      <c r="I157" s="146"/>
      <c r="J157" s="146"/>
      <c r="K157" s="146"/>
      <c r="L157" s="146"/>
      <c r="M157" s="146"/>
      <c r="N157" s="146"/>
      <c r="O157" s="146"/>
      <c r="P157" s="146"/>
      <c r="Q157" s="146"/>
      <c r="R157" s="146"/>
      <c r="S157" s="146"/>
      <c r="T157" s="146"/>
      <c r="U157" s="146"/>
      <c r="V157" s="146"/>
      <c r="W157" s="146"/>
      <c r="X157" s="146"/>
      <c r="Y157" s="146"/>
      <c r="Z157" s="146"/>
      <c r="AA157" s="146"/>
    </row>
    <row r="158" spans="1:27" ht="15.75" customHeight="1" x14ac:dyDescent="0.25">
      <c r="A158" s="146"/>
      <c r="B158" s="146"/>
      <c r="C158" s="146"/>
      <c r="D158" s="146"/>
      <c r="E158" s="146"/>
      <c r="F158" s="146"/>
      <c r="G158" s="146"/>
      <c r="H158" s="146"/>
      <c r="I158" s="146"/>
      <c r="J158" s="146"/>
      <c r="K158" s="146"/>
      <c r="L158" s="146"/>
      <c r="M158" s="146"/>
      <c r="N158" s="146"/>
      <c r="O158" s="146"/>
      <c r="P158" s="146"/>
      <c r="Q158" s="146"/>
      <c r="R158" s="146"/>
      <c r="S158" s="146"/>
      <c r="T158" s="146"/>
      <c r="U158" s="146"/>
      <c r="V158" s="146"/>
      <c r="W158" s="146"/>
      <c r="X158" s="146"/>
      <c r="Y158" s="146"/>
      <c r="Z158" s="146"/>
      <c r="AA158" s="146"/>
    </row>
    <row r="159" spans="1:27" ht="15.75" customHeight="1" x14ac:dyDescent="0.25">
      <c r="A159" s="146"/>
      <c r="B159" s="146"/>
      <c r="C159" s="146"/>
      <c r="D159" s="146"/>
      <c r="E159" s="146"/>
      <c r="F159" s="146"/>
      <c r="G159" s="146"/>
      <c r="H159" s="146"/>
      <c r="I159" s="146"/>
      <c r="J159" s="146"/>
      <c r="K159" s="146"/>
      <c r="L159" s="146"/>
      <c r="M159" s="146"/>
      <c r="N159" s="146"/>
      <c r="O159" s="146"/>
      <c r="P159" s="146"/>
      <c r="Q159" s="146"/>
      <c r="R159" s="146"/>
      <c r="S159" s="146"/>
      <c r="T159" s="146"/>
      <c r="U159" s="146"/>
      <c r="V159" s="146"/>
      <c r="W159" s="146"/>
      <c r="X159" s="146"/>
      <c r="Y159" s="146"/>
      <c r="Z159" s="146"/>
      <c r="AA159" s="146"/>
    </row>
    <row r="160" spans="1:27" ht="15.75" customHeight="1" x14ac:dyDescent="0.25">
      <c r="A160" s="146"/>
      <c r="B160" s="146"/>
      <c r="C160" s="146"/>
      <c r="D160" s="146"/>
      <c r="E160" s="146"/>
      <c r="F160" s="146"/>
      <c r="G160" s="146"/>
      <c r="H160" s="146"/>
      <c r="I160" s="146"/>
      <c r="J160" s="146"/>
      <c r="K160" s="146"/>
      <c r="L160" s="146"/>
      <c r="M160" s="146"/>
      <c r="N160" s="146"/>
      <c r="O160" s="146"/>
      <c r="P160" s="146"/>
      <c r="Q160" s="146"/>
      <c r="R160" s="146"/>
      <c r="S160" s="146"/>
      <c r="T160" s="146"/>
      <c r="U160" s="146"/>
      <c r="V160" s="146"/>
      <c r="W160" s="146"/>
      <c r="X160" s="146"/>
      <c r="Y160" s="146"/>
      <c r="Z160" s="146"/>
      <c r="AA160" s="146"/>
    </row>
    <row r="161" spans="1:27" ht="15.75" customHeight="1" x14ac:dyDescent="0.25">
      <c r="A161" s="146"/>
      <c r="B161" s="146"/>
      <c r="C161" s="146"/>
      <c r="D161" s="146"/>
      <c r="E161" s="146"/>
      <c r="F161" s="146"/>
      <c r="G161" s="146"/>
      <c r="H161" s="146"/>
      <c r="I161" s="146"/>
      <c r="J161" s="146"/>
      <c r="K161" s="146"/>
      <c r="L161" s="146"/>
      <c r="M161" s="146"/>
      <c r="N161" s="146"/>
      <c r="O161" s="146"/>
      <c r="P161" s="146"/>
      <c r="Q161" s="146"/>
      <c r="R161" s="146"/>
      <c r="S161" s="146"/>
      <c r="T161" s="146"/>
      <c r="U161" s="146"/>
      <c r="V161" s="146"/>
      <c r="W161" s="146"/>
      <c r="X161" s="146"/>
      <c r="Y161" s="146"/>
      <c r="Z161" s="146"/>
      <c r="AA161" s="146"/>
    </row>
    <row r="162" spans="1:27" ht="15.75" customHeight="1" x14ac:dyDescent="0.25">
      <c r="A162" s="146"/>
      <c r="B162" s="146"/>
      <c r="C162" s="146"/>
      <c r="D162" s="146"/>
      <c r="E162" s="146"/>
      <c r="F162" s="146"/>
      <c r="G162" s="146"/>
      <c r="H162" s="146"/>
      <c r="I162" s="146"/>
      <c r="J162" s="146"/>
      <c r="K162" s="146"/>
      <c r="L162" s="146"/>
      <c r="M162" s="146"/>
      <c r="N162" s="146"/>
      <c r="O162" s="146"/>
      <c r="P162" s="146"/>
      <c r="Q162" s="146"/>
      <c r="R162" s="146"/>
      <c r="S162" s="146"/>
      <c r="T162" s="146"/>
      <c r="U162" s="146"/>
      <c r="V162" s="146"/>
      <c r="W162" s="146"/>
      <c r="X162" s="146"/>
      <c r="Y162" s="146"/>
      <c r="Z162" s="146"/>
      <c r="AA162" s="146"/>
    </row>
    <row r="163" spans="1:27" ht="15.75" customHeight="1" x14ac:dyDescent="0.25">
      <c r="A163" s="146"/>
      <c r="B163" s="146"/>
      <c r="C163" s="146"/>
      <c r="D163" s="146"/>
      <c r="E163" s="146"/>
      <c r="F163" s="146"/>
      <c r="G163" s="146"/>
      <c r="H163" s="146"/>
      <c r="I163" s="146"/>
      <c r="J163" s="146"/>
      <c r="K163" s="146"/>
      <c r="L163" s="146"/>
      <c r="M163" s="146"/>
      <c r="N163" s="146"/>
      <c r="O163" s="146"/>
      <c r="P163" s="146"/>
      <c r="Q163" s="146"/>
      <c r="R163" s="146"/>
      <c r="S163" s="146"/>
      <c r="T163" s="146"/>
      <c r="U163" s="146"/>
      <c r="V163" s="146"/>
      <c r="W163" s="146"/>
      <c r="X163" s="146"/>
      <c r="Y163" s="146"/>
      <c r="Z163" s="146"/>
      <c r="AA163" s="146"/>
    </row>
    <row r="164" spans="1:27" ht="15.75" customHeight="1" x14ac:dyDescent="0.25">
      <c r="A164" s="146"/>
      <c r="B164" s="146"/>
      <c r="C164" s="146"/>
      <c r="D164" s="146"/>
      <c r="E164" s="146"/>
      <c r="F164" s="146"/>
      <c r="G164" s="146"/>
      <c r="H164" s="146"/>
      <c r="I164" s="146"/>
      <c r="J164" s="146"/>
      <c r="K164" s="146"/>
      <c r="L164" s="146"/>
      <c r="M164" s="146"/>
      <c r="N164" s="146"/>
      <c r="O164" s="146"/>
      <c r="P164" s="146"/>
      <c r="Q164" s="146"/>
      <c r="R164" s="146"/>
      <c r="S164" s="146"/>
      <c r="T164" s="146"/>
      <c r="U164" s="146"/>
      <c r="V164" s="146"/>
      <c r="W164" s="146"/>
      <c r="X164" s="146"/>
      <c r="Y164" s="146"/>
      <c r="Z164" s="146"/>
      <c r="AA164" s="146"/>
    </row>
    <row r="165" spans="1:27" ht="15.75" customHeight="1" x14ac:dyDescent="0.25">
      <c r="A165" s="146"/>
      <c r="B165" s="146"/>
      <c r="C165" s="146"/>
      <c r="D165" s="146"/>
      <c r="E165" s="146"/>
      <c r="F165" s="146"/>
      <c r="G165" s="146"/>
      <c r="H165" s="146"/>
      <c r="I165" s="146"/>
      <c r="J165" s="146"/>
      <c r="K165" s="146"/>
      <c r="L165" s="146"/>
      <c r="M165" s="146"/>
      <c r="N165" s="146"/>
      <c r="O165" s="146"/>
      <c r="P165" s="146"/>
      <c r="Q165" s="146"/>
      <c r="R165" s="146"/>
      <c r="S165" s="146"/>
      <c r="T165" s="146"/>
      <c r="U165" s="146"/>
      <c r="V165" s="146"/>
      <c r="W165" s="146"/>
      <c r="X165" s="146"/>
      <c r="Y165" s="146"/>
      <c r="Z165" s="146"/>
      <c r="AA165" s="146"/>
    </row>
    <row r="166" spans="1:27" ht="15.75" customHeight="1" x14ac:dyDescent="0.25">
      <c r="A166" s="146"/>
      <c r="B166" s="146"/>
      <c r="C166" s="146"/>
      <c r="D166" s="146"/>
      <c r="E166" s="146"/>
      <c r="F166" s="146"/>
      <c r="G166" s="146"/>
      <c r="H166" s="146"/>
      <c r="I166" s="146"/>
      <c r="J166" s="146"/>
      <c r="K166" s="146"/>
      <c r="L166" s="146"/>
      <c r="M166" s="146"/>
      <c r="N166" s="146"/>
      <c r="O166" s="146"/>
      <c r="P166" s="146"/>
      <c r="Q166" s="146"/>
      <c r="R166" s="146"/>
      <c r="S166" s="146"/>
      <c r="T166" s="146"/>
      <c r="U166" s="146"/>
      <c r="V166" s="146"/>
      <c r="W166" s="146"/>
      <c r="X166" s="146"/>
      <c r="Y166" s="146"/>
      <c r="Z166" s="146"/>
      <c r="AA166" s="146"/>
    </row>
    <row r="167" spans="1:27" ht="15.75" customHeight="1" x14ac:dyDescent="0.25">
      <c r="A167" s="146"/>
      <c r="B167" s="146"/>
      <c r="C167" s="146"/>
      <c r="D167" s="146"/>
      <c r="E167" s="146"/>
      <c r="F167" s="146"/>
      <c r="G167" s="146"/>
      <c r="H167" s="146"/>
      <c r="I167" s="146"/>
      <c r="J167" s="146"/>
      <c r="K167" s="146"/>
      <c r="L167" s="146"/>
      <c r="M167" s="146"/>
      <c r="N167" s="146"/>
      <c r="O167" s="146"/>
      <c r="P167" s="146"/>
      <c r="Q167" s="146"/>
      <c r="R167" s="146"/>
      <c r="S167" s="146"/>
      <c r="T167" s="146"/>
      <c r="U167" s="146"/>
      <c r="V167" s="146"/>
      <c r="W167" s="146"/>
      <c r="X167" s="146"/>
      <c r="Y167" s="146"/>
      <c r="Z167" s="146"/>
      <c r="AA167" s="146"/>
    </row>
    <row r="168" spans="1:27" ht="15.75" customHeight="1" x14ac:dyDescent="0.25">
      <c r="A168" s="146"/>
      <c r="B168" s="146"/>
      <c r="C168" s="146"/>
      <c r="D168" s="146"/>
      <c r="E168" s="146"/>
      <c r="F168" s="146"/>
      <c r="G168" s="146"/>
      <c r="H168" s="146"/>
      <c r="I168" s="146"/>
      <c r="J168" s="146"/>
      <c r="K168" s="146"/>
      <c r="L168" s="146"/>
      <c r="M168" s="146"/>
      <c r="N168" s="146"/>
      <c r="O168" s="146"/>
      <c r="P168" s="146"/>
      <c r="Q168" s="146"/>
      <c r="R168" s="146"/>
      <c r="S168" s="146"/>
      <c r="T168" s="146"/>
      <c r="U168" s="146"/>
      <c r="V168" s="146"/>
      <c r="W168" s="146"/>
      <c r="X168" s="146"/>
      <c r="Y168" s="146"/>
      <c r="Z168" s="146"/>
      <c r="AA168" s="146"/>
    </row>
    <row r="169" spans="1:27" ht="15.75" customHeight="1" x14ac:dyDescent="0.25">
      <c r="A169" s="146"/>
      <c r="B169" s="146"/>
      <c r="C169" s="146"/>
      <c r="D169" s="146"/>
      <c r="E169" s="146"/>
      <c r="F169" s="146"/>
      <c r="G169" s="146"/>
      <c r="H169" s="146"/>
      <c r="I169" s="146"/>
      <c r="J169" s="146"/>
      <c r="K169" s="146"/>
      <c r="L169" s="146"/>
      <c r="M169" s="146"/>
      <c r="N169" s="146"/>
      <c r="O169" s="146"/>
      <c r="P169" s="146"/>
      <c r="Q169" s="146"/>
      <c r="R169" s="146"/>
      <c r="S169" s="146"/>
      <c r="T169" s="146"/>
      <c r="U169" s="146"/>
      <c r="V169" s="146"/>
      <c r="W169" s="146"/>
      <c r="X169" s="146"/>
      <c r="Y169" s="146"/>
      <c r="Z169" s="146"/>
      <c r="AA169" s="146"/>
    </row>
    <row r="170" spans="1:27" ht="15.75" customHeight="1" x14ac:dyDescent="0.25">
      <c r="A170" s="146"/>
      <c r="B170" s="146"/>
      <c r="C170" s="146"/>
      <c r="D170" s="146"/>
      <c r="E170" s="146"/>
      <c r="F170" s="146"/>
      <c r="G170" s="146"/>
      <c r="H170" s="146"/>
      <c r="I170" s="146"/>
      <c r="J170" s="146"/>
      <c r="K170" s="146"/>
      <c r="L170" s="146"/>
      <c r="M170" s="146"/>
      <c r="N170" s="146"/>
      <c r="O170" s="146"/>
      <c r="P170" s="146"/>
      <c r="Q170" s="146"/>
      <c r="R170" s="146"/>
      <c r="S170" s="146"/>
      <c r="T170" s="146"/>
      <c r="U170" s="146"/>
      <c r="V170" s="146"/>
      <c r="W170" s="146"/>
      <c r="X170" s="146"/>
      <c r="Y170" s="146"/>
      <c r="Z170" s="146"/>
      <c r="AA170" s="146"/>
    </row>
    <row r="171" spans="1:27" ht="15.75" customHeight="1" x14ac:dyDescent="0.25">
      <c r="A171" s="146"/>
      <c r="B171" s="146"/>
      <c r="C171" s="146"/>
      <c r="D171" s="146"/>
      <c r="E171" s="146"/>
      <c r="F171" s="146"/>
      <c r="G171" s="146"/>
      <c r="H171" s="146"/>
      <c r="I171" s="146"/>
      <c r="J171" s="146"/>
      <c r="K171" s="146"/>
      <c r="L171" s="146"/>
      <c r="M171" s="146"/>
      <c r="N171" s="146"/>
      <c r="O171" s="146"/>
      <c r="P171" s="146"/>
      <c r="Q171" s="146"/>
      <c r="R171" s="146"/>
      <c r="S171" s="146"/>
      <c r="T171" s="146"/>
      <c r="U171" s="146"/>
      <c r="V171" s="146"/>
      <c r="W171" s="146"/>
      <c r="X171" s="146"/>
      <c r="Y171" s="146"/>
      <c r="Z171" s="146"/>
      <c r="AA171" s="146"/>
    </row>
    <row r="172" spans="1:27" ht="15.75" customHeight="1" x14ac:dyDescent="0.25">
      <c r="A172" s="146"/>
      <c r="B172" s="146"/>
      <c r="C172" s="146"/>
      <c r="D172" s="146"/>
      <c r="E172" s="146"/>
      <c r="F172" s="146"/>
      <c r="G172" s="146"/>
      <c r="H172" s="146"/>
      <c r="I172" s="146"/>
      <c r="J172" s="146"/>
      <c r="K172" s="146"/>
      <c r="L172" s="146"/>
      <c r="M172" s="146"/>
      <c r="N172" s="146"/>
      <c r="O172" s="146"/>
      <c r="P172" s="146"/>
      <c r="Q172" s="146"/>
      <c r="R172" s="146"/>
      <c r="S172" s="146"/>
      <c r="T172" s="146"/>
      <c r="U172" s="146"/>
      <c r="V172" s="146"/>
      <c r="W172" s="146"/>
      <c r="X172" s="146"/>
      <c r="Y172" s="146"/>
      <c r="Z172" s="146"/>
      <c r="AA172" s="146"/>
    </row>
    <row r="173" spans="1:27" ht="15.75" customHeight="1" x14ac:dyDescent="0.25">
      <c r="A173" s="146"/>
      <c r="B173" s="146"/>
      <c r="C173" s="146"/>
      <c r="D173" s="146"/>
      <c r="E173" s="146"/>
      <c r="F173" s="146"/>
      <c r="G173" s="146"/>
      <c r="H173" s="146"/>
      <c r="I173" s="146"/>
      <c r="J173" s="146"/>
      <c r="K173" s="146"/>
      <c r="L173" s="146"/>
      <c r="M173" s="146"/>
      <c r="N173" s="146"/>
      <c r="O173" s="146"/>
      <c r="P173" s="146"/>
      <c r="Q173" s="146"/>
      <c r="R173" s="146"/>
      <c r="S173" s="146"/>
      <c r="T173" s="146"/>
      <c r="U173" s="146"/>
      <c r="V173" s="146"/>
      <c r="W173" s="146"/>
      <c r="X173" s="146"/>
      <c r="Y173" s="146"/>
      <c r="Z173" s="146"/>
      <c r="AA173" s="146"/>
    </row>
    <row r="174" spans="1:27" ht="15.75" customHeight="1" x14ac:dyDescent="0.25">
      <c r="A174" s="146"/>
      <c r="B174" s="146"/>
      <c r="C174" s="146"/>
      <c r="D174" s="146"/>
      <c r="E174" s="146"/>
      <c r="F174" s="146"/>
      <c r="G174" s="146"/>
      <c r="H174" s="146"/>
      <c r="I174" s="146"/>
      <c r="J174" s="146"/>
      <c r="K174" s="146"/>
      <c r="L174" s="146"/>
      <c r="M174" s="146"/>
      <c r="N174" s="146"/>
      <c r="O174" s="146"/>
      <c r="P174" s="146"/>
      <c r="Q174" s="146"/>
      <c r="R174" s="146"/>
      <c r="S174" s="146"/>
      <c r="T174" s="146"/>
      <c r="U174" s="146"/>
      <c r="V174" s="146"/>
      <c r="W174" s="146"/>
      <c r="X174" s="146"/>
      <c r="Y174" s="146"/>
      <c r="Z174" s="146"/>
      <c r="AA174" s="146"/>
    </row>
    <row r="175" spans="1:27" ht="15.75" customHeight="1" x14ac:dyDescent="0.25">
      <c r="A175" s="146"/>
      <c r="B175" s="146"/>
      <c r="C175" s="146"/>
      <c r="D175" s="146"/>
      <c r="E175" s="146"/>
      <c r="F175" s="146"/>
      <c r="G175" s="146"/>
      <c r="H175" s="146"/>
      <c r="I175" s="146"/>
      <c r="J175" s="146"/>
      <c r="K175" s="146"/>
      <c r="L175" s="146"/>
      <c r="M175" s="146"/>
      <c r="N175" s="146"/>
      <c r="O175" s="146"/>
      <c r="P175" s="146"/>
      <c r="Q175" s="146"/>
      <c r="R175" s="146"/>
      <c r="S175" s="146"/>
      <c r="T175" s="146"/>
      <c r="U175" s="146"/>
      <c r="V175" s="146"/>
      <c r="W175" s="146"/>
      <c r="X175" s="146"/>
      <c r="Y175" s="146"/>
      <c r="Z175" s="146"/>
      <c r="AA175" s="146"/>
    </row>
    <row r="176" spans="1:27" ht="15.75" customHeight="1" x14ac:dyDescent="0.25">
      <c r="A176" s="146"/>
      <c r="B176" s="146"/>
      <c r="C176" s="146"/>
      <c r="D176" s="146"/>
      <c r="E176" s="146"/>
      <c r="F176" s="146"/>
      <c r="G176" s="146"/>
      <c r="H176" s="146"/>
      <c r="I176" s="146"/>
      <c r="J176" s="146"/>
      <c r="K176" s="146"/>
      <c r="L176" s="146"/>
      <c r="M176" s="146"/>
      <c r="N176" s="146"/>
      <c r="O176" s="146"/>
      <c r="P176" s="146"/>
      <c r="Q176" s="146"/>
      <c r="R176" s="146"/>
      <c r="S176" s="146"/>
      <c r="T176" s="146"/>
      <c r="U176" s="146"/>
      <c r="V176" s="146"/>
      <c r="W176" s="146"/>
      <c r="X176" s="146"/>
      <c r="Y176" s="146"/>
      <c r="Z176" s="146"/>
      <c r="AA176" s="146"/>
    </row>
    <row r="177" spans="1:27" ht="15.75" customHeight="1" x14ac:dyDescent="0.25">
      <c r="A177" s="146"/>
      <c r="B177" s="146"/>
      <c r="C177" s="146"/>
      <c r="D177" s="146"/>
      <c r="E177" s="146"/>
      <c r="F177" s="146"/>
      <c r="G177" s="146"/>
      <c r="H177" s="146"/>
      <c r="I177" s="146"/>
      <c r="J177" s="146"/>
      <c r="K177" s="146"/>
      <c r="L177" s="146"/>
      <c r="M177" s="146"/>
      <c r="N177" s="146"/>
      <c r="O177" s="146"/>
      <c r="P177" s="146"/>
      <c r="Q177" s="146"/>
      <c r="R177" s="146"/>
      <c r="S177" s="146"/>
      <c r="T177" s="146"/>
      <c r="U177" s="146"/>
      <c r="V177" s="146"/>
      <c r="W177" s="146"/>
      <c r="X177" s="146"/>
      <c r="Y177" s="146"/>
      <c r="Z177" s="146"/>
      <c r="AA177" s="146"/>
    </row>
    <row r="178" spans="1:27" ht="15.75" customHeight="1" x14ac:dyDescent="0.25">
      <c r="A178" s="146"/>
      <c r="B178" s="146"/>
      <c r="C178" s="146"/>
      <c r="D178" s="146"/>
      <c r="E178" s="146"/>
      <c r="F178" s="146"/>
      <c r="G178" s="146"/>
      <c r="H178" s="146"/>
      <c r="I178" s="146"/>
      <c r="J178" s="146"/>
      <c r="K178" s="146"/>
      <c r="L178" s="146"/>
      <c r="M178" s="146"/>
      <c r="N178" s="146"/>
      <c r="O178" s="146"/>
      <c r="P178" s="146"/>
      <c r="Q178" s="146"/>
      <c r="R178" s="146"/>
      <c r="S178" s="146"/>
      <c r="T178" s="146"/>
      <c r="U178" s="146"/>
      <c r="V178" s="146"/>
      <c r="W178" s="146"/>
      <c r="X178" s="146"/>
      <c r="Y178" s="146"/>
      <c r="Z178" s="146"/>
      <c r="AA178" s="146"/>
    </row>
    <row r="179" spans="1:27" ht="15.75" customHeight="1" x14ac:dyDescent="0.25">
      <c r="A179" s="146"/>
      <c r="B179" s="146"/>
      <c r="C179" s="146"/>
      <c r="D179" s="146"/>
      <c r="E179" s="146"/>
      <c r="F179" s="146"/>
      <c r="G179" s="146"/>
      <c r="H179" s="146"/>
      <c r="I179" s="146"/>
      <c r="J179" s="146"/>
      <c r="K179" s="146"/>
      <c r="L179" s="146"/>
      <c r="M179" s="146"/>
      <c r="N179" s="146"/>
      <c r="O179" s="146"/>
      <c r="P179" s="146"/>
      <c r="Q179" s="146"/>
      <c r="R179" s="146"/>
      <c r="S179" s="146"/>
      <c r="T179" s="146"/>
      <c r="U179" s="146"/>
      <c r="V179" s="146"/>
      <c r="W179" s="146"/>
      <c r="X179" s="146"/>
      <c r="Y179" s="146"/>
      <c r="Z179" s="146"/>
      <c r="AA179" s="146"/>
    </row>
    <row r="180" spans="1:27" ht="15.75" customHeight="1" x14ac:dyDescent="0.25">
      <c r="A180" s="146"/>
      <c r="B180" s="146"/>
      <c r="C180" s="146"/>
      <c r="D180" s="146"/>
      <c r="E180" s="146"/>
      <c r="F180" s="146"/>
      <c r="G180" s="146"/>
      <c r="H180" s="146"/>
      <c r="I180" s="146"/>
      <c r="J180" s="146"/>
      <c r="K180" s="146"/>
      <c r="L180" s="146"/>
      <c r="M180" s="146"/>
      <c r="N180" s="146"/>
      <c r="O180" s="146"/>
      <c r="P180" s="146"/>
      <c r="Q180" s="146"/>
      <c r="R180" s="146"/>
      <c r="S180" s="146"/>
      <c r="T180" s="146"/>
      <c r="U180" s="146"/>
      <c r="V180" s="146"/>
      <c r="W180" s="146"/>
      <c r="X180" s="146"/>
      <c r="Y180" s="146"/>
      <c r="Z180" s="146"/>
      <c r="AA180" s="146"/>
    </row>
    <row r="181" spans="1:27" ht="15.75" customHeight="1" x14ac:dyDescent="0.25">
      <c r="A181" s="146"/>
      <c r="B181" s="146"/>
      <c r="C181" s="146"/>
      <c r="D181" s="146"/>
      <c r="E181" s="146"/>
      <c r="F181" s="146"/>
      <c r="G181" s="146"/>
      <c r="H181" s="146"/>
      <c r="I181" s="146"/>
      <c r="J181" s="146"/>
      <c r="K181" s="146"/>
      <c r="L181" s="146"/>
      <c r="M181" s="146"/>
      <c r="N181" s="146"/>
      <c r="O181" s="146"/>
      <c r="P181" s="146"/>
      <c r="Q181" s="146"/>
      <c r="R181" s="146"/>
      <c r="S181" s="146"/>
      <c r="T181" s="146"/>
      <c r="U181" s="146"/>
      <c r="V181" s="146"/>
      <c r="W181" s="146"/>
      <c r="X181" s="146"/>
      <c r="Y181" s="146"/>
      <c r="Z181" s="146"/>
      <c r="AA181" s="146"/>
    </row>
    <row r="182" spans="1:27" ht="15.75" customHeight="1" x14ac:dyDescent="0.25">
      <c r="A182" s="146"/>
      <c r="B182" s="146"/>
      <c r="C182" s="146"/>
      <c r="D182" s="146"/>
      <c r="E182" s="146"/>
      <c r="F182" s="146"/>
      <c r="G182" s="146"/>
      <c r="H182" s="146"/>
      <c r="I182" s="146"/>
      <c r="J182" s="146"/>
      <c r="K182" s="146"/>
      <c r="L182" s="146"/>
      <c r="M182" s="146"/>
      <c r="N182" s="146"/>
      <c r="O182" s="146"/>
      <c r="P182" s="146"/>
      <c r="Q182" s="146"/>
      <c r="R182" s="146"/>
      <c r="S182" s="146"/>
      <c r="T182" s="146"/>
      <c r="U182" s="146"/>
      <c r="V182" s="146"/>
      <c r="W182" s="146"/>
      <c r="X182" s="146"/>
      <c r="Y182" s="146"/>
      <c r="Z182" s="146"/>
      <c r="AA182" s="146"/>
    </row>
    <row r="183" spans="1:27" ht="15.75" customHeight="1" x14ac:dyDescent="0.25">
      <c r="A183" s="146"/>
      <c r="B183" s="146"/>
      <c r="C183" s="146"/>
      <c r="D183" s="146"/>
      <c r="E183" s="146"/>
      <c r="F183" s="146"/>
      <c r="G183" s="146"/>
      <c r="H183" s="146"/>
      <c r="I183" s="146"/>
      <c r="J183" s="146"/>
      <c r="K183" s="146"/>
      <c r="L183" s="146"/>
      <c r="M183" s="146"/>
      <c r="N183" s="146"/>
      <c r="O183" s="146"/>
      <c r="P183" s="146"/>
      <c r="Q183" s="146"/>
      <c r="R183" s="146"/>
      <c r="S183" s="146"/>
      <c r="T183" s="146"/>
      <c r="U183" s="146"/>
      <c r="V183" s="146"/>
      <c r="W183" s="146"/>
      <c r="X183" s="146"/>
      <c r="Y183" s="146"/>
      <c r="Z183" s="146"/>
      <c r="AA183" s="146"/>
    </row>
    <row r="184" spans="1:27" ht="15.75" customHeight="1" x14ac:dyDescent="0.25">
      <c r="A184" s="146"/>
      <c r="B184" s="146"/>
      <c r="C184" s="146"/>
      <c r="D184" s="146"/>
      <c r="E184" s="146"/>
      <c r="F184" s="146"/>
      <c r="G184" s="146"/>
      <c r="H184" s="146"/>
      <c r="I184" s="146"/>
      <c r="J184" s="146"/>
      <c r="K184" s="146"/>
      <c r="L184" s="146"/>
      <c r="M184" s="146"/>
      <c r="N184" s="146"/>
      <c r="O184" s="146"/>
      <c r="P184" s="146"/>
      <c r="Q184" s="146"/>
      <c r="R184" s="146"/>
      <c r="S184" s="146"/>
      <c r="T184" s="146"/>
      <c r="U184" s="146"/>
      <c r="V184" s="146"/>
      <c r="W184" s="146"/>
      <c r="X184" s="146"/>
      <c r="Y184" s="146"/>
      <c r="Z184" s="146"/>
      <c r="AA184" s="146"/>
    </row>
    <row r="185" spans="1:27" ht="15.75" customHeight="1" x14ac:dyDescent="0.25">
      <c r="A185" s="146"/>
      <c r="B185" s="146"/>
      <c r="C185" s="146"/>
      <c r="D185" s="146"/>
      <c r="E185" s="146"/>
      <c r="F185" s="146"/>
      <c r="G185" s="146"/>
      <c r="H185" s="146"/>
      <c r="I185" s="146"/>
      <c r="J185" s="146"/>
      <c r="K185" s="146"/>
      <c r="L185" s="146"/>
      <c r="M185" s="146"/>
      <c r="N185" s="146"/>
      <c r="O185" s="146"/>
      <c r="P185" s="146"/>
      <c r="Q185" s="146"/>
      <c r="R185" s="146"/>
      <c r="S185" s="146"/>
      <c r="T185" s="146"/>
      <c r="U185" s="146"/>
      <c r="V185" s="146"/>
      <c r="W185" s="146"/>
      <c r="X185" s="146"/>
      <c r="Y185" s="146"/>
      <c r="Z185" s="146"/>
      <c r="AA185" s="146"/>
    </row>
    <row r="186" spans="1:27" ht="15.75" customHeight="1" x14ac:dyDescent="0.25">
      <c r="A186" s="146"/>
      <c r="B186" s="146"/>
      <c r="C186" s="146"/>
      <c r="D186" s="146"/>
      <c r="E186" s="146"/>
      <c r="F186" s="146"/>
      <c r="G186" s="146"/>
      <c r="H186" s="146"/>
      <c r="I186" s="146"/>
      <c r="J186" s="146"/>
      <c r="K186" s="146"/>
      <c r="L186" s="146"/>
      <c r="M186" s="146"/>
      <c r="N186" s="146"/>
      <c r="O186" s="146"/>
      <c r="P186" s="146"/>
      <c r="Q186" s="146"/>
      <c r="R186" s="146"/>
      <c r="S186" s="146"/>
      <c r="T186" s="146"/>
      <c r="U186" s="146"/>
      <c r="V186" s="146"/>
      <c r="W186" s="146"/>
      <c r="X186" s="146"/>
      <c r="Y186" s="146"/>
      <c r="Z186" s="146"/>
      <c r="AA186" s="146"/>
    </row>
    <row r="187" spans="1:27" ht="15.75" customHeight="1" x14ac:dyDescent="0.25">
      <c r="A187" s="146"/>
      <c r="B187" s="146"/>
      <c r="C187" s="146"/>
      <c r="D187" s="146"/>
      <c r="E187" s="146"/>
      <c r="F187" s="146"/>
      <c r="G187" s="146"/>
      <c r="H187" s="146"/>
      <c r="I187" s="146"/>
      <c r="J187" s="146"/>
      <c r="K187" s="146"/>
      <c r="L187" s="146"/>
      <c r="M187" s="146"/>
      <c r="N187" s="146"/>
      <c r="O187" s="146"/>
      <c r="P187" s="146"/>
      <c r="Q187" s="146"/>
      <c r="R187" s="146"/>
      <c r="S187" s="146"/>
      <c r="T187" s="146"/>
      <c r="U187" s="146"/>
      <c r="V187" s="146"/>
      <c r="W187" s="146"/>
      <c r="X187" s="146"/>
      <c r="Y187" s="146"/>
      <c r="Z187" s="146"/>
      <c r="AA187" s="146"/>
    </row>
    <row r="188" spans="1:27" ht="15.75" customHeight="1" x14ac:dyDescent="0.25">
      <c r="A188" s="146"/>
      <c r="B188" s="146"/>
      <c r="C188" s="146"/>
      <c r="D188" s="146"/>
      <c r="E188" s="146"/>
      <c r="F188" s="146"/>
      <c r="G188" s="146"/>
      <c r="H188" s="146"/>
      <c r="I188" s="146"/>
      <c r="J188" s="146"/>
      <c r="K188" s="146"/>
      <c r="L188" s="146"/>
      <c r="M188" s="146"/>
      <c r="N188" s="146"/>
      <c r="O188" s="146"/>
      <c r="P188" s="146"/>
      <c r="Q188" s="146"/>
      <c r="R188" s="146"/>
      <c r="S188" s="146"/>
      <c r="T188" s="146"/>
      <c r="U188" s="146"/>
      <c r="V188" s="146"/>
      <c r="W188" s="146"/>
      <c r="X188" s="146"/>
      <c r="Y188" s="146"/>
      <c r="Z188" s="146"/>
      <c r="AA188" s="146"/>
    </row>
    <row r="189" spans="1:27" ht="15.75" customHeight="1" x14ac:dyDescent="0.25">
      <c r="A189" s="146"/>
      <c r="B189" s="146"/>
      <c r="C189" s="146"/>
      <c r="D189" s="146"/>
      <c r="E189" s="146"/>
      <c r="F189" s="146"/>
      <c r="G189" s="146"/>
      <c r="H189" s="146"/>
      <c r="I189" s="146"/>
      <c r="J189" s="146"/>
      <c r="K189" s="146"/>
      <c r="L189" s="146"/>
      <c r="M189" s="146"/>
      <c r="N189" s="146"/>
      <c r="O189" s="146"/>
      <c r="P189" s="146"/>
      <c r="Q189" s="146"/>
      <c r="R189" s="146"/>
      <c r="S189" s="146"/>
      <c r="T189" s="146"/>
      <c r="U189" s="146"/>
      <c r="V189" s="146"/>
      <c r="W189" s="146"/>
      <c r="X189" s="146"/>
      <c r="Y189" s="146"/>
      <c r="Z189" s="146"/>
      <c r="AA189" s="146"/>
    </row>
    <row r="190" spans="1:27" ht="15.75" customHeight="1" x14ac:dyDescent="0.25">
      <c r="A190" s="146"/>
      <c r="B190" s="146"/>
      <c r="C190" s="146"/>
      <c r="D190" s="146"/>
      <c r="E190" s="146"/>
      <c r="F190" s="146"/>
      <c r="G190" s="146"/>
      <c r="H190" s="146"/>
      <c r="I190" s="146"/>
      <c r="J190" s="146"/>
      <c r="K190" s="146"/>
      <c r="L190" s="146"/>
      <c r="M190" s="146"/>
      <c r="N190" s="146"/>
      <c r="O190" s="146"/>
      <c r="P190" s="146"/>
      <c r="Q190" s="146"/>
      <c r="R190" s="146"/>
      <c r="S190" s="146"/>
      <c r="T190" s="146"/>
      <c r="U190" s="146"/>
      <c r="V190" s="146"/>
      <c r="W190" s="146"/>
      <c r="X190" s="146"/>
      <c r="Y190" s="146"/>
      <c r="Z190" s="146"/>
      <c r="AA190" s="146"/>
    </row>
    <row r="191" spans="1:27" ht="15.75" customHeight="1" x14ac:dyDescent="0.25">
      <c r="A191" s="146"/>
      <c r="B191" s="146"/>
      <c r="C191" s="146"/>
      <c r="D191" s="146"/>
      <c r="E191" s="146"/>
      <c r="F191" s="146"/>
      <c r="G191" s="146"/>
      <c r="H191" s="146"/>
      <c r="I191" s="146"/>
      <c r="J191" s="146"/>
      <c r="K191" s="146"/>
      <c r="L191" s="146"/>
      <c r="M191" s="146"/>
      <c r="N191" s="146"/>
      <c r="O191" s="146"/>
      <c r="P191" s="146"/>
      <c r="Q191" s="146"/>
      <c r="R191" s="146"/>
      <c r="S191" s="146"/>
      <c r="T191" s="146"/>
      <c r="U191" s="146"/>
      <c r="V191" s="146"/>
      <c r="W191" s="146"/>
      <c r="X191" s="146"/>
      <c r="Y191" s="146"/>
      <c r="Z191" s="146"/>
      <c r="AA191" s="146"/>
    </row>
    <row r="192" spans="1:27" ht="15.75" customHeight="1" x14ac:dyDescent="0.25">
      <c r="A192" s="146"/>
      <c r="B192" s="146"/>
      <c r="C192" s="146"/>
      <c r="D192" s="146"/>
      <c r="E192" s="146"/>
      <c r="F192" s="146"/>
      <c r="G192" s="146"/>
      <c r="H192" s="146"/>
      <c r="I192" s="146"/>
      <c r="J192" s="146"/>
      <c r="K192" s="146"/>
      <c r="L192" s="146"/>
      <c r="M192" s="146"/>
      <c r="N192" s="146"/>
      <c r="O192" s="146"/>
      <c r="P192" s="146"/>
      <c r="Q192" s="146"/>
      <c r="R192" s="146"/>
      <c r="S192" s="146"/>
      <c r="T192" s="146"/>
      <c r="U192" s="146"/>
      <c r="V192" s="146"/>
      <c r="W192" s="146"/>
      <c r="X192" s="146"/>
      <c r="Y192" s="146"/>
      <c r="Z192" s="146"/>
      <c r="AA192" s="146"/>
    </row>
    <row r="193" spans="1:27" ht="15.75" customHeight="1" x14ac:dyDescent="0.25">
      <c r="A193" s="146"/>
      <c r="B193" s="146"/>
      <c r="C193" s="146"/>
      <c r="D193" s="146"/>
      <c r="E193" s="146"/>
      <c r="F193" s="146"/>
      <c r="G193" s="146"/>
      <c r="H193" s="146"/>
      <c r="I193" s="146"/>
      <c r="J193" s="146"/>
      <c r="K193" s="146"/>
      <c r="L193" s="146"/>
      <c r="M193" s="146"/>
      <c r="N193" s="146"/>
      <c r="O193" s="146"/>
      <c r="P193" s="146"/>
      <c r="Q193" s="146"/>
      <c r="R193" s="146"/>
      <c r="S193" s="146"/>
      <c r="T193" s="146"/>
      <c r="U193" s="146"/>
      <c r="V193" s="146"/>
      <c r="W193" s="146"/>
      <c r="X193" s="146"/>
      <c r="Y193" s="146"/>
      <c r="Z193" s="146"/>
      <c r="AA193" s="146"/>
    </row>
    <row r="194" spans="1:27" ht="15.75" customHeight="1" x14ac:dyDescent="0.25">
      <c r="A194" s="146"/>
      <c r="B194" s="146"/>
      <c r="C194" s="146"/>
      <c r="D194" s="146"/>
      <c r="E194" s="146"/>
      <c r="F194" s="146"/>
      <c r="G194" s="146"/>
      <c r="H194" s="146"/>
      <c r="I194" s="146"/>
      <c r="J194" s="146"/>
      <c r="K194" s="146"/>
      <c r="L194" s="146"/>
      <c r="M194" s="146"/>
      <c r="N194" s="146"/>
      <c r="O194" s="146"/>
      <c r="P194" s="146"/>
      <c r="Q194" s="146"/>
      <c r="R194" s="146"/>
      <c r="S194" s="146"/>
      <c r="T194" s="146"/>
      <c r="U194" s="146"/>
      <c r="V194" s="146"/>
      <c r="W194" s="146"/>
      <c r="X194" s="146"/>
      <c r="Y194" s="146"/>
      <c r="Z194" s="146"/>
      <c r="AA194" s="146"/>
    </row>
    <row r="195" spans="1:27" ht="15.75" customHeight="1" x14ac:dyDescent="0.25">
      <c r="A195" s="146"/>
      <c r="B195" s="146"/>
      <c r="C195" s="146"/>
      <c r="D195" s="146"/>
      <c r="E195" s="146"/>
      <c r="F195" s="146"/>
      <c r="G195" s="146"/>
      <c r="H195" s="146"/>
      <c r="I195" s="146"/>
      <c r="J195" s="146"/>
      <c r="K195" s="146"/>
      <c r="L195" s="146"/>
      <c r="M195" s="146"/>
      <c r="N195" s="146"/>
      <c r="O195" s="146"/>
      <c r="P195" s="146"/>
      <c r="Q195" s="146"/>
      <c r="R195" s="146"/>
      <c r="S195" s="146"/>
      <c r="T195" s="146"/>
      <c r="U195" s="146"/>
      <c r="V195" s="146"/>
      <c r="W195" s="146"/>
      <c r="X195" s="146"/>
      <c r="Y195" s="146"/>
      <c r="Z195" s="146"/>
      <c r="AA195" s="146"/>
    </row>
    <row r="196" spans="1:27" ht="15.75" customHeight="1" x14ac:dyDescent="0.25">
      <c r="A196" s="146"/>
      <c r="B196" s="146"/>
      <c r="C196" s="146"/>
      <c r="D196" s="146"/>
      <c r="E196" s="146"/>
      <c r="F196" s="146"/>
      <c r="G196" s="146"/>
      <c r="H196" s="146"/>
      <c r="I196" s="146"/>
      <c r="J196" s="146"/>
      <c r="K196" s="146"/>
      <c r="L196" s="146"/>
      <c r="M196" s="146"/>
      <c r="N196" s="146"/>
      <c r="O196" s="146"/>
      <c r="P196" s="146"/>
      <c r="Q196" s="146"/>
      <c r="R196" s="146"/>
      <c r="S196" s="146"/>
      <c r="T196" s="146"/>
      <c r="U196" s="146"/>
      <c r="V196" s="146"/>
      <c r="W196" s="146"/>
      <c r="X196" s="146"/>
      <c r="Y196" s="146"/>
      <c r="Z196" s="146"/>
      <c r="AA196" s="146"/>
    </row>
    <row r="197" spans="1:27" ht="15.75" customHeight="1" x14ac:dyDescent="0.25">
      <c r="A197" s="146"/>
      <c r="B197" s="146"/>
      <c r="C197" s="146"/>
      <c r="D197" s="146"/>
      <c r="E197" s="146"/>
      <c r="F197" s="146"/>
      <c r="G197" s="146"/>
      <c r="H197" s="146"/>
      <c r="I197" s="146"/>
      <c r="J197" s="146"/>
      <c r="K197" s="146"/>
      <c r="L197" s="146"/>
      <c r="M197" s="146"/>
      <c r="N197" s="146"/>
      <c r="O197" s="146"/>
      <c r="P197" s="146"/>
      <c r="Q197" s="146"/>
      <c r="R197" s="146"/>
      <c r="S197" s="146"/>
      <c r="T197" s="146"/>
      <c r="U197" s="146"/>
      <c r="V197" s="146"/>
      <c r="W197" s="146"/>
      <c r="X197" s="146"/>
      <c r="Y197" s="146"/>
      <c r="Z197" s="146"/>
      <c r="AA197" s="146"/>
    </row>
    <row r="198" spans="1:27" ht="15.75" customHeight="1" x14ac:dyDescent="0.25">
      <c r="A198" s="146"/>
      <c r="B198" s="146"/>
      <c r="C198" s="146"/>
      <c r="D198" s="146"/>
      <c r="E198" s="146"/>
      <c r="F198" s="146"/>
      <c r="G198" s="146"/>
      <c r="H198" s="146"/>
      <c r="I198" s="146"/>
      <c r="J198" s="146"/>
      <c r="K198" s="146"/>
      <c r="L198" s="146"/>
      <c r="M198" s="146"/>
      <c r="N198" s="146"/>
      <c r="O198" s="146"/>
      <c r="P198" s="146"/>
      <c r="Q198" s="146"/>
      <c r="R198" s="146"/>
      <c r="S198" s="146"/>
      <c r="T198" s="146"/>
      <c r="U198" s="146"/>
      <c r="V198" s="146"/>
      <c r="W198" s="146"/>
      <c r="X198" s="146"/>
      <c r="Y198" s="146"/>
      <c r="Z198" s="146"/>
      <c r="AA198" s="146"/>
    </row>
    <row r="199" spans="1:27" ht="15.75" customHeight="1" x14ac:dyDescent="0.25">
      <c r="A199" s="146"/>
      <c r="B199" s="146"/>
      <c r="C199" s="146"/>
      <c r="D199" s="146"/>
      <c r="E199" s="146"/>
      <c r="F199" s="146"/>
      <c r="G199" s="146"/>
      <c r="H199" s="146"/>
      <c r="I199" s="146"/>
      <c r="J199" s="146"/>
      <c r="K199" s="146"/>
      <c r="L199" s="146"/>
      <c r="M199" s="146"/>
      <c r="N199" s="146"/>
      <c r="O199" s="146"/>
      <c r="P199" s="146"/>
      <c r="Q199" s="146"/>
      <c r="R199" s="146"/>
      <c r="S199" s="146"/>
      <c r="T199" s="146"/>
      <c r="U199" s="146"/>
      <c r="V199" s="146"/>
      <c r="W199" s="146"/>
      <c r="X199" s="146"/>
      <c r="Y199" s="146"/>
      <c r="Z199" s="146"/>
      <c r="AA199" s="146"/>
    </row>
    <row r="200" spans="1:27" ht="15.75" customHeight="1" x14ac:dyDescent="0.25">
      <c r="A200" s="146"/>
      <c r="B200" s="146"/>
      <c r="C200" s="146"/>
      <c r="D200" s="146"/>
      <c r="E200" s="146"/>
      <c r="F200" s="146"/>
      <c r="G200" s="146"/>
      <c r="H200" s="146"/>
      <c r="I200" s="146"/>
      <c r="J200" s="146"/>
      <c r="K200" s="146"/>
      <c r="L200" s="146"/>
      <c r="M200" s="146"/>
      <c r="N200" s="146"/>
      <c r="O200" s="146"/>
      <c r="P200" s="146"/>
      <c r="Q200" s="146"/>
      <c r="R200" s="146"/>
      <c r="S200" s="146"/>
      <c r="T200" s="146"/>
      <c r="U200" s="146"/>
      <c r="V200" s="146"/>
      <c r="W200" s="146"/>
      <c r="X200" s="146"/>
      <c r="Y200" s="146"/>
      <c r="Z200" s="146"/>
      <c r="AA200" s="146"/>
    </row>
    <row r="201" spans="1:27" ht="15.75" customHeight="1" x14ac:dyDescent="0.25">
      <c r="A201" s="146"/>
      <c r="B201" s="146"/>
      <c r="C201" s="146"/>
      <c r="D201" s="146"/>
      <c r="E201" s="146"/>
      <c r="F201" s="146"/>
      <c r="G201" s="146"/>
      <c r="H201" s="146"/>
      <c r="I201" s="146"/>
      <c r="J201" s="146"/>
      <c r="K201" s="146"/>
      <c r="L201" s="146"/>
      <c r="M201" s="146"/>
      <c r="N201" s="146"/>
      <c r="O201" s="146"/>
      <c r="P201" s="146"/>
      <c r="Q201" s="146"/>
      <c r="R201" s="146"/>
      <c r="S201" s="146"/>
      <c r="T201" s="146"/>
      <c r="U201" s="146"/>
      <c r="V201" s="146"/>
      <c r="W201" s="146"/>
      <c r="X201" s="146"/>
      <c r="Y201" s="146"/>
      <c r="Z201" s="146"/>
      <c r="AA201" s="146"/>
    </row>
    <row r="202" spans="1:27" ht="15.75" customHeight="1" x14ac:dyDescent="0.25">
      <c r="A202" s="146"/>
      <c r="B202" s="146"/>
      <c r="C202" s="146"/>
      <c r="D202" s="146"/>
      <c r="E202" s="146"/>
      <c r="F202" s="146"/>
      <c r="G202" s="146"/>
      <c r="H202" s="146"/>
      <c r="I202" s="146"/>
      <c r="J202" s="146"/>
      <c r="K202" s="146"/>
      <c r="L202" s="146"/>
      <c r="M202" s="146"/>
      <c r="N202" s="146"/>
      <c r="O202" s="146"/>
      <c r="P202" s="146"/>
      <c r="Q202" s="146"/>
      <c r="R202" s="146"/>
      <c r="S202" s="146"/>
      <c r="T202" s="146"/>
      <c r="U202" s="146"/>
      <c r="V202" s="146"/>
      <c r="W202" s="146"/>
      <c r="X202" s="146"/>
      <c r="Y202" s="146"/>
      <c r="Z202" s="146"/>
      <c r="AA202" s="146"/>
    </row>
    <row r="203" spans="1:27" ht="15.75" customHeight="1" x14ac:dyDescent="0.25">
      <c r="A203" s="146"/>
      <c r="B203" s="146"/>
      <c r="C203" s="146"/>
      <c r="D203" s="146"/>
      <c r="E203" s="146"/>
      <c r="F203" s="146"/>
      <c r="G203" s="146"/>
      <c r="H203" s="146"/>
      <c r="I203" s="146"/>
      <c r="J203" s="146"/>
      <c r="K203" s="146"/>
      <c r="L203" s="146"/>
      <c r="M203" s="146"/>
      <c r="N203" s="146"/>
      <c r="O203" s="146"/>
      <c r="P203" s="146"/>
      <c r="Q203" s="146"/>
      <c r="R203" s="146"/>
      <c r="S203" s="146"/>
      <c r="T203" s="146"/>
      <c r="U203" s="146"/>
      <c r="V203" s="146"/>
      <c r="W203" s="146"/>
      <c r="X203" s="146"/>
      <c r="Y203" s="146"/>
      <c r="Z203" s="146"/>
      <c r="AA203" s="146"/>
    </row>
    <row r="204" spans="1:27" ht="15.75" customHeight="1" x14ac:dyDescent="0.25">
      <c r="A204" s="146"/>
      <c r="B204" s="146"/>
      <c r="C204" s="146"/>
      <c r="D204" s="146"/>
      <c r="E204" s="146"/>
      <c r="F204" s="146"/>
      <c r="G204" s="146"/>
      <c r="H204" s="146"/>
      <c r="I204" s="146"/>
      <c r="J204" s="146"/>
      <c r="K204" s="146"/>
      <c r="L204" s="146"/>
      <c r="M204" s="146"/>
      <c r="N204" s="146"/>
      <c r="O204" s="146"/>
      <c r="P204" s="146"/>
      <c r="Q204" s="146"/>
      <c r="R204" s="146"/>
      <c r="S204" s="146"/>
      <c r="T204" s="146"/>
      <c r="U204" s="146"/>
      <c r="V204" s="146"/>
      <c r="W204" s="146"/>
      <c r="X204" s="146"/>
      <c r="Y204" s="146"/>
      <c r="Z204" s="146"/>
      <c r="AA204" s="146"/>
    </row>
    <row r="205" spans="1:27" ht="15.75" customHeight="1" x14ac:dyDescent="0.25">
      <c r="A205" s="146"/>
      <c r="B205" s="146"/>
      <c r="C205" s="146"/>
      <c r="D205" s="146"/>
      <c r="E205" s="146"/>
      <c r="F205" s="146"/>
      <c r="G205" s="146"/>
      <c r="H205" s="146"/>
      <c r="I205" s="146"/>
      <c r="J205" s="146"/>
      <c r="K205" s="146"/>
      <c r="L205" s="146"/>
      <c r="M205" s="146"/>
      <c r="N205" s="146"/>
      <c r="O205" s="146"/>
      <c r="P205" s="146"/>
      <c r="Q205" s="146"/>
      <c r="R205" s="146"/>
      <c r="S205" s="146"/>
      <c r="T205" s="146"/>
      <c r="U205" s="146"/>
      <c r="V205" s="146"/>
      <c r="W205" s="146"/>
      <c r="X205" s="146"/>
      <c r="Y205" s="146"/>
      <c r="Z205" s="146"/>
      <c r="AA205" s="146"/>
    </row>
    <row r="206" spans="1:27" ht="15.75" customHeight="1" x14ac:dyDescent="0.25">
      <c r="A206" s="146"/>
      <c r="B206" s="146"/>
      <c r="C206" s="146"/>
      <c r="D206" s="146"/>
      <c r="E206" s="146"/>
      <c r="F206" s="146"/>
      <c r="G206" s="146"/>
      <c r="H206" s="146"/>
      <c r="I206" s="146"/>
      <c r="J206" s="146"/>
      <c r="K206" s="146"/>
      <c r="L206" s="146"/>
      <c r="M206" s="146"/>
      <c r="N206" s="146"/>
      <c r="O206" s="146"/>
      <c r="P206" s="146"/>
      <c r="Q206" s="146"/>
      <c r="R206" s="146"/>
      <c r="S206" s="146"/>
      <c r="T206" s="146"/>
      <c r="U206" s="146"/>
      <c r="V206" s="146"/>
      <c r="W206" s="146"/>
      <c r="X206" s="146"/>
      <c r="Y206" s="146"/>
      <c r="Z206" s="146"/>
      <c r="AA206" s="146"/>
    </row>
    <row r="207" spans="1:27" ht="15.75" customHeight="1" x14ac:dyDescent="0.25">
      <c r="A207" s="146"/>
      <c r="B207" s="146"/>
      <c r="C207" s="146"/>
      <c r="D207" s="146"/>
      <c r="E207" s="146"/>
      <c r="F207" s="146"/>
      <c r="G207" s="146"/>
      <c r="H207" s="146"/>
      <c r="I207" s="146"/>
      <c r="J207" s="146"/>
      <c r="K207" s="146"/>
      <c r="L207" s="146"/>
      <c r="M207" s="146"/>
      <c r="N207" s="146"/>
      <c r="O207" s="146"/>
      <c r="P207" s="146"/>
      <c r="Q207" s="146"/>
      <c r="R207" s="146"/>
      <c r="S207" s="146"/>
      <c r="T207" s="146"/>
      <c r="U207" s="146"/>
      <c r="V207" s="146"/>
      <c r="W207" s="146"/>
      <c r="X207" s="146"/>
      <c r="Y207" s="146"/>
      <c r="Z207" s="146"/>
      <c r="AA207" s="146"/>
    </row>
    <row r="208" spans="1:27" ht="15.75" customHeight="1" x14ac:dyDescent="0.25">
      <c r="A208" s="146"/>
      <c r="B208" s="146"/>
      <c r="C208" s="146"/>
      <c r="D208" s="146"/>
      <c r="E208" s="146"/>
      <c r="F208" s="146"/>
      <c r="G208" s="146"/>
      <c r="H208" s="146"/>
      <c r="I208" s="146"/>
      <c r="J208" s="146"/>
      <c r="K208" s="146"/>
      <c r="L208" s="146"/>
      <c r="M208" s="146"/>
      <c r="N208" s="146"/>
      <c r="O208" s="146"/>
      <c r="P208" s="146"/>
      <c r="Q208" s="146"/>
      <c r="R208" s="146"/>
      <c r="S208" s="146"/>
      <c r="T208" s="146"/>
      <c r="U208" s="146"/>
      <c r="V208" s="146"/>
      <c r="W208" s="146"/>
      <c r="X208" s="146"/>
      <c r="Y208" s="146"/>
      <c r="Z208" s="146"/>
      <c r="AA208" s="146"/>
    </row>
    <row r="209" spans="1:27" ht="15.75" customHeight="1" x14ac:dyDescent="0.25">
      <c r="A209" s="146"/>
      <c r="B209" s="146"/>
      <c r="C209" s="146"/>
      <c r="D209" s="146"/>
      <c r="E209" s="146"/>
      <c r="F209" s="146"/>
      <c r="G209" s="146"/>
      <c r="H209" s="146"/>
      <c r="I209" s="146"/>
      <c r="J209" s="146"/>
      <c r="K209" s="146"/>
      <c r="L209" s="146"/>
      <c r="M209" s="146"/>
      <c r="N209" s="146"/>
      <c r="O209" s="146"/>
      <c r="P209" s="146"/>
      <c r="Q209" s="146"/>
      <c r="R209" s="146"/>
      <c r="S209" s="146"/>
      <c r="T209" s="146"/>
      <c r="U209" s="146"/>
      <c r="V209" s="146"/>
      <c r="W209" s="146"/>
      <c r="X209" s="146"/>
      <c r="Y209" s="146"/>
      <c r="Z209" s="146"/>
      <c r="AA209" s="146"/>
    </row>
    <row r="210" spans="1:27" ht="15.75" customHeight="1" x14ac:dyDescent="0.25">
      <c r="A210" s="146"/>
      <c r="B210" s="146"/>
      <c r="C210" s="146"/>
      <c r="D210" s="146"/>
      <c r="E210" s="146"/>
      <c r="F210" s="146"/>
      <c r="G210" s="146"/>
      <c r="H210" s="146"/>
      <c r="I210" s="146"/>
      <c r="J210" s="146"/>
      <c r="K210" s="146"/>
      <c r="L210" s="146"/>
      <c r="M210" s="146"/>
      <c r="N210" s="146"/>
      <c r="O210" s="146"/>
      <c r="P210" s="146"/>
      <c r="Q210" s="146"/>
      <c r="R210" s="146"/>
      <c r="S210" s="146"/>
      <c r="T210" s="146"/>
      <c r="U210" s="146"/>
      <c r="V210" s="146"/>
      <c r="W210" s="146"/>
      <c r="X210" s="146"/>
      <c r="Y210" s="146"/>
      <c r="Z210" s="146"/>
      <c r="AA210" s="146"/>
    </row>
    <row r="211" spans="1:27" ht="15.75" customHeight="1" x14ac:dyDescent="0.25">
      <c r="A211" s="146"/>
      <c r="B211" s="146"/>
      <c r="C211" s="146"/>
      <c r="D211" s="146"/>
      <c r="E211" s="146"/>
      <c r="F211" s="146"/>
      <c r="G211" s="146"/>
      <c r="H211" s="146"/>
      <c r="I211" s="146"/>
      <c r="J211" s="146"/>
      <c r="K211" s="146"/>
      <c r="L211" s="146"/>
      <c r="M211" s="146"/>
      <c r="N211" s="146"/>
      <c r="O211" s="146"/>
      <c r="P211" s="146"/>
      <c r="Q211" s="146"/>
      <c r="R211" s="146"/>
      <c r="S211" s="146"/>
      <c r="T211" s="146"/>
      <c r="U211" s="146"/>
      <c r="V211" s="146"/>
      <c r="W211" s="146"/>
      <c r="X211" s="146"/>
      <c r="Y211" s="146"/>
      <c r="Z211" s="146"/>
      <c r="AA211" s="146"/>
    </row>
    <row r="212" spans="1:27" ht="15.75" customHeight="1" x14ac:dyDescent="0.25">
      <c r="A212" s="146"/>
      <c r="B212" s="146"/>
      <c r="C212" s="146"/>
      <c r="D212" s="146"/>
      <c r="E212" s="146"/>
      <c r="F212" s="146"/>
      <c r="G212" s="146"/>
      <c r="H212" s="146"/>
      <c r="I212" s="146"/>
      <c r="J212" s="146"/>
      <c r="K212" s="146"/>
      <c r="L212" s="146"/>
      <c r="M212" s="146"/>
      <c r="N212" s="146"/>
      <c r="O212" s="146"/>
      <c r="P212" s="146"/>
      <c r="Q212" s="146"/>
      <c r="R212" s="146"/>
      <c r="S212" s="146"/>
      <c r="T212" s="146"/>
      <c r="U212" s="146"/>
      <c r="V212" s="146"/>
      <c r="W212" s="146"/>
      <c r="X212" s="146"/>
      <c r="Y212" s="146"/>
      <c r="Z212" s="146"/>
      <c r="AA212" s="146"/>
    </row>
    <row r="213" spans="1:27" ht="15.75" customHeight="1" x14ac:dyDescent="0.25">
      <c r="A213" s="146"/>
      <c r="B213" s="146"/>
      <c r="C213" s="146"/>
      <c r="D213" s="146"/>
      <c r="E213" s="146"/>
      <c r="F213" s="146"/>
      <c r="G213" s="146"/>
      <c r="H213" s="146"/>
      <c r="I213" s="146"/>
      <c r="J213" s="146"/>
      <c r="K213" s="146"/>
      <c r="L213" s="146"/>
      <c r="M213" s="146"/>
      <c r="N213" s="146"/>
      <c r="O213" s="146"/>
      <c r="P213" s="146"/>
      <c r="Q213" s="146"/>
      <c r="R213" s="146"/>
      <c r="S213" s="146"/>
      <c r="T213" s="146"/>
      <c r="U213" s="146"/>
      <c r="V213" s="146"/>
      <c r="W213" s="146"/>
      <c r="X213" s="146"/>
      <c r="Y213" s="146"/>
      <c r="Z213" s="146"/>
      <c r="AA213" s="146"/>
    </row>
    <row r="214" spans="1:27" ht="15.75" customHeight="1" x14ac:dyDescent="0.25">
      <c r="A214" s="146"/>
      <c r="B214" s="146"/>
      <c r="C214" s="146"/>
      <c r="D214" s="146"/>
      <c r="E214" s="146"/>
      <c r="F214" s="146"/>
      <c r="G214" s="146"/>
      <c r="H214" s="146"/>
      <c r="I214" s="146"/>
      <c r="J214" s="146"/>
      <c r="K214" s="146"/>
      <c r="L214" s="146"/>
      <c r="M214" s="146"/>
      <c r="N214" s="146"/>
      <c r="O214" s="146"/>
      <c r="P214" s="146"/>
      <c r="Q214" s="146"/>
      <c r="R214" s="146"/>
      <c r="S214" s="146"/>
      <c r="T214" s="146"/>
      <c r="U214" s="146"/>
      <c r="V214" s="146"/>
      <c r="W214" s="146"/>
      <c r="X214" s="146"/>
      <c r="Y214" s="146"/>
      <c r="Z214" s="146"/>
      <c r="AA214" s="146"/>
    </row>
    <row r="215" spans="1:27" ht="15.75" customHeight="1" x14ac:dyDescent="0.25">
      <c r="A215" s="146"/>
      <c r="B215" s="146"/>
      <c r="C215" s="146"/>
      <c r="D215" s="146"/>
      <c r="E215" s="146"/>
      <c r="F215" s="146"/>
      <c r="G215" s="146"/>
      <c r="H215" s="146"/>
      <c r="I215" s="146"/>
      <c r="J215" s="146"/>
      <c r="K215" s="146"/>
      <c r="L215" s="146"/>
      <c r="M215" s="146"/>
      <c r="N215" s="146"/>
      <c r="O215" s="146"/>
      <c r="P215" s="146"/>
      <c r="Q215" s="146"/>
      <c r="R215" s="146"/>
      <c r="S215" s="146"/>
      <c r="T215" s="146"/>
      <c r="U215" s="146"/>
      <c r="V215" s="146"/>
      <c r="W215" s="146"/>
      <c r="X215" s="146"/>
      <c r="Y215" s="146"/>
      <c r="Z215" s="146"/>
      <c r="AA215" s="146"/>
    </row>
    <row r="216" spans="1:27" ht="15.75" customHeight="1" x14ac:dyDescent="0.25">
      <c r="A216" s="146"/>
      <c r="B216" s="146"/>
      <c r="C216" s="146"/>
      <c r="D216" s="146"/>
      <c r="E216" s="146"/>
      <c r="F216" s="146"/>
      <c r="G216" s="146"/>
      <c r="H216" s="146"/>
      <c r="I216" s="146"/>
      <c r="J216" s="146"/>
      <c r="K216" s="146"/>
      <c r="L216" s="146"/>
      <c r="M216" s="146"/>
      <c r="N216" s="146"/>
      <c r="O216" s="146"/>
      <c r="P216" s="146"/>
      <c r="Q216" s="146"/>
      <c r="R216" s="146"/>
      <c r="S216" s="146"/>
      <c r="T216" s="146"/>
      <c r="U216" s="146"/>
      <c r="V216" s="146"/>
      <c r="W216" s="146"/>
      <c r="X216" s="146"/>
      <c r="Y216" s="146"/>
      <c r="Z216" s="146"/>
      <c r="AA216" s="146"/>
    </row>
    <row r="217" spans="1:27" ht="15.75" customHeight="1" x14ac:dyDescent="0.25">
      <c r="A217" s="146"/>
      <c r="B217" s="146"/>
      <c r="C217" s="146"/>
      <c r="D217" s="146"/>
      <c r="E217" s="146"/>
      <c r="F217" s="146"/>
      <c r="G217" s="146"/>
      <c r="H217" s="146"/>
      <c r="I217" s="146"/>
      <c r="J217" s="146"/>
      <c r="K217" s="146"/>
      <c r="L217" s="146"/>
      <c r="M217" s="146"/>
      <c r="N217" s="146"/>
      <c r="O217" s="146"/>
      <c r="P217" s="146"/>
      <c r="Q217" s="146"/>
      <c r="R217" s="146"/>
      <c r="S217" s="146"/>
      <c r="T217" s="146"/>
      <c r="U217" s="146"/>
      <c r="V217" s="146"/>
      <c r="W217" s="146"/>
      <c r="X217" s="146"/>
      <c r="Y217" s="146"/>
      <c r="Z217" s="146"/>
      <c r="AA217" s="146"/>
    </row>
    <row r="218" spans="1:27" ht="15.75" customHeight="1" x14ac:dyDescent="0.25">
      <c r="A218" s="146"/>
      <c r="B218" s="146"/>
      <c r="C218" s="146"/>
      <c r="D218" s="146"/>
      <c r="E218" s="146"/>
      <c r="F218" s="146"/>
      <c r="G218" s="146"/>
      <c r="H218" s="146"/>
      <c r="I218" s="146"/>
      <c r="J218" s="146"/>
      <c r="K218" s="146"/>
      <c r="L218" s="146"/>
      <c r="M218" s="146"/>
      <c r="N218" s="146"/>
      <c r="O218" s="146"/>
      <c r="P218" s="146"/>
      <c r="Q218" s="146"/>
      <c r="R218" s="146"/>
      <c r="S218" s="146"/>
      <c r="T218" s="146"/>
      <c r="U218" s="146"/>
      <c r="V218" s="146"/>
      <c r="W218" s="146"/>
      <c r="X218" s="146"/>
      <c r="Y218" s="146"/>
      <c r="Z218" s="146"/>
      <c r="AA218" s="146"/>
    </row>
    <row r="219" spans="1:27" ht="15.75" customHeight="1" x14ac:dyDescent="0.25">
      <c r="A219" s="146"/>
      <c r="B219" s="146"/>
      <c r="C219" s="146"/>
      <c r="D219" s="146"/>
      <c r="E219" s="146"/>
      <c r="F219" s="146"/>
      <c r="G219" s="146"/>
      <c r="H219" s="146"/>
      <c r="I219" s="146"/>
      <c r="J219" s="146"/>
      <c r="K219" s="146"/>
      <c r="L219" s="146"/>
      <c r="M219" s="146"/>
      <c r="N219" s="146"/>
      <c r="O219" s="146"/>
      <c r="P219" s="146"/>
      <c r="Q219" s="146"/>
      <c r="R219" s="146"/>
      <c r="S219" s="146"/>
      <c r="T219" s="146"/>
      <c r="U219" s="146"/>
      <c r="V219" s="146"/>
      <c r="W219" s="146"/>
      <c r="X219" s="146"/>
      <c r="Y219" s="146"/>
      <c r="Z219" s="146"/>
      <c r="AA219" s="146"/>
    </row>
    <row r="220" spans="1:27" ht="15.75" customHeight="1" x14ac:dyDescent="0.25">
      <c r="A220" s="146"/>
      <c r="B220" s="146"/>
      <c r="C220" s="146"/>
      <c r="D220" s="146"/>
      <c r="E220" s="146"/>
      <c r="F220" s="146"/>
      <c r="G220" s="146"/>
      <c r="H220" s="146"/>
      <c r="I220" s="146"/>
      <c r="J220" s="146"/>
      <c r="K220" s="146"/>
      <c r="L220" s="146"/>
      <c r="M220" s="146"/>
      <c r="N220" s="146"/>
      <c r="O220" s="146"/>
      <c r="P220" s="146"/>
      <c r="Q220" s="146"/>
      <c r="R220" s="146"/>
      <c r="S220" s="146"/>
      <c r="T220" s="146"/>
      <c r="U220" s="146"/>
      <c r="V220" s="146"/>
      <c r="W220" s="146"/>
      <c r="X220" s="146"/>
      <c r="Y220" s="146"/>
      <c r="Z220" s="146"/>
      <c r="AA220" s="146"/>
    </row>
    <row r="221" spans="1:27" ht="15.75" customHeight="1" x14ac:dyDescent="0.25">
      <c r="A221" s="146"/>
      <c r="B221" s="146"/>
      <c r="C221" s="146"/>
      <c r="D221" s="146"/>
      <c r="E221" s="146"/>
      <c r="F221" s="146"/>
      <c r="G221" s="146"/>
      <c r="H221" s="146"/>
      <c r="I221" s="146"/>
      <c r="J221" s="146"/>
      <c r="K221" s="146"/>
      <c r="L221" s="146"/>
      <c r="M221" s="146"/>
      <c r="N221" s="146"/>
      <c r="O221" s="146"/>
      <c r="P221" s="146"/>
      <c r="Q221" s="146"/>
      <c r="R221" s="146"/>
      <c r="S221" s="146"/>
      <c r="T221" s="146"/>
      <c r="U221" s="146"/>
      <c r="V221" s="146"/>
      <c r="W221" s="146"/>
      <c r="X221" s="146"/>
      <c r="Y221" s="146"/>
      <c r="Z221" s="146"/>
      <c r="AA221" s="146"/>
    </row>
    <row r="222" spans="1:27" ht="15.75" customHeight="1" x14ac:dyDescent="0.25">
      <c r="A222" s="146"/>
      <c r="B222" s="146"/>
      <c r="C222" s="146"/>
      <c r="D222" s="146"/>
      <c r="E222" s="146"/>
      <c r="F222" s="146"/>
      <c r="G222" s="146"/>
      <c r="H222" s="146"/>
      <c r="I222" s="146"/>
      <c r="J222" s="146"/>
      <c r="K222" s="146"/>
      <c r="L222" s="146"/>
      <c r="M222" s="146"/>
      <c r="N222" s="146"/>
      <c r="O222" s="146"/>
      <c r="P222" s="146"/>
      <c r="Q222" s="146"/>
      <c r="R222" s="146"/>
      <c r="S222" s="146"/>
      <c r="T222" s="146"/>
      <c r="U222" s="146"/>
      <c r="V222" s="146"/>
      <c r="W222" s="146"/>
      <c r="X222" s="146"/>
      <c r="Y222" s="146"/>
      <c r="Z222" s="146"/>
      <c r="AA222" s="146"/>
    </row>
    <row r="223" spans="1:27" ht="15.75" customHeight="1" x14ac:dyDescent="0.25">
      <c r="A223" s="146"/>
      <c r="B223" s="146"/>
      <c r="C223" s="146"/>
      <c r="D223" s="146"/>
      <c r="E223" s="146"/>
      <c r="F223" s="146"/>
      <c r="G223" s="146"/>
      <c r="H223" s="146"/>
      <c r="I223" s="146"/>
      <c r="J223" s="146"/>
      <c r="K223" s="146"/>
      <c r="L223" s="146"/>
      <c r="M223" s="146"/>
      <c r="N223" s="146"/>
      <c r="O223" s="146"/>
      <c r="P223" s="146"/>
      <c r="Q223" s="146"/>
      <c r="R223" s="146"/>
      <c r="S223" s="146"/>
      <c r="T223" s="146"/>
      <c r="U223" s="146"/>
      <c r="V223" s="146"/>
      <c r="W223" s="146"/>
      <c r="X223" s="146"/>
      <c r="Y223" s="146"/>
      <c r="Z223" s="146"/>
      <c r="AA223" s="146"/>
    </row>
    <row r="224" spans="1:27" ht="15.75" customHeight="1" x14ac:dyDescent="0.25">
      <c r="A224" s="146"/>
      <c r="B224" s="146"/>
      <c r="C224" s="146"/>
      <c r="D224" s="146"/>
      <c r="E224" s="146"/>
      <c r="F224" s="146"/>
      <c r="G224" s="146"/>
      <c r="H224" s="146"/>
      <c r="I224" s="146"/>
      <c r="J224" s="146"/>
      <c r="K224" s="146"/>
      <c r="L224" s="146"/>
      <c r="M224" s="146"/>
      <c r="N224" s="146"/>
      <c r="O224" s="146"/>
      <c r="P224" s="146"/>
      <c r="Q224" s="146"/>
      <c r="R224" s="146"/>
      <c r="S224" s="146"/>
      <c r="T224" s="146"/>
      <c r="U224" s="146"/>
      <c r="V224" s="146"/>
      <c r="W224" s="146"/>
      <c r="X224" s="146"/>
      <c r="Y224" s="146"/>
      <c r="Z224" s="146"/>
      <c r="AA224" s="146"/>
    </row>
    <row r="225" spans="1:27" ht="15.75" customHeight="1" x14ac:dyDescent="0.25">
      <c r="A225" s="146"/>
      <c r="B225" s="146"/>
      <c r="C225" s="146"/>
      <c r="D225" s="146"/>
      <c r="E225" s="146"/>
      <c r="F225" s="146"/>
      <c r="G225" s="146"/>
      <c r="H225" s="146"/>
      <c r="I225" s="146"/>
      <c r="J225" s="146"/>
      <c r="K225" s="146"/>
      <c r="L225" s="146"/>
      <c r="M225" s="146"/>
      <c r="N225" s="146"/>
      <c r="O225" s="146"/>
      <c r="P225" s="146"/>
      <c r="Q225" s="146"/>
      <c r="R225" s="146"/>
      <c r="S225" s="146"/>
      <c r="T225" s="146"/>
      <c r="U225" s="146"/>
      <c r="V225" s="146"/>
      <c r="W225" s="146"/>
      <c r="X225" s="146"/>
      <c r="Y225" s="146"/>
      <c r="Z225" s="146"/>
      <c r="AA225" s="146"/>
    </row>
    <row r="226" spans="1:27" ht="15.75" customHeight="1" x14ac:dyDescent="0.25">
      <c r="A226" s="146"/>
      <c r="B226" s="146"/>
      <c r="C226" s="146"/>
      <c r="D226" s="146"/>
      <c r="E226" s="146"/>
      <c r="F226" s="146"/>
      <c r="G226" s="146"/>
      <c r="H226" s="146"/>
      <c r="I226" s="146"/>
      <c r="J226" s="146"/>
      <c r="K226" s="146"/>
      <c r="L226" s="146"/>
      <c r="M226" s="146"/>
      <c r="N226" s="146"/>
      <c r="O226" s="146"/>
      <c r="P226" s="146"/>
      <c r="Q226" s="146"/>
      <c r="R226" s="146"/>
      <c r="S226" s="146"/>
      <c r="T226" s="146"/>
      <c r="U226" s="146"/>
      <c r="V226" s="146"/>
      <c r="W226" s="146"/>
      <c r="X226" s="146"/>
      <c r="Y226" s="146"/>
      <c r="Z226" s="146"/>
      <c r="AA226" s="146"/>
    </row>
    <row r="227" spans="1:27" ht="15.75" customHeight="1" x14ac:dyDescent="0.25">
      <c r="A227" s="146"/>
      <c r="B227" s="146"/>
      <c r="C227" s="146"/>
      <c r="D227" s="146"/>
      <c r="E227" s="146"/>
      <c r="F227" s="146"/>
      <c r="G227" s="146"/>
      <c r="H227" s="146"/>
      <c r="I227" s="146"/>
      <c r="J227" s="146"/>
      <c r="K227" s="146"/>
      <c r="L227" s="146"/>
      <c r="M227" s="146"/>
      <c r="N227" s="146"/>
      <c r="O227" s="146"/>
      <c r="P227" s="146"/>
      <c r="Q227" s="146"/>
      <c r="R227" s="146"/>
      <c r="S227" s="146"/>
      <c r="T227" s="146"/>
      <c r="U227" s="146"/>
      <c r="V227" s="146"/>
      <c r="W227" s="146"/>
      <c r="X227" s="146"/>
      <c r="Y227" s="146"/>
      <c r="Z227" s="146"/>
      <c r="AA227" s="146"/>
    </row>
    <row r="228" spans="1:27" ht="15.75" customHeight="1" x14ac:dyDescent="0.25">
      <c r="A228" s="146"/>
      <c r="B228" s="146"/>
      <c r="C228" s="146"/>
      <c r="D228" s="146"/>
      <c r="E228" s="146"/>
      <c r="F228" s="146"/>
      <c r="G228" s="146"/>
      <c r="H228" s="146"/>
      <c r="I228" s="146"/>
      <c r="J228" s="146"/>
      <c r="K228" s="146"/>
      <c r="L228" s="146"/>
      <c r="M228" s="146"/>
      <c r="N228" s="146"/>
      <c r="O228" s="146"/>
      <c r="P228" s="146"/>
      <c r="Q228" s="146"/>
      <c r="R228" s="146"/>
      <c r="S228" s="146"/>
      <c r="T228" s="146"/>
      <c r="U228" s="146"/>
      <c r="V228" s="146"/>
      <c r="W228" s="146"/>
      <c r="X228" s="146"/>
      <c r="Y228" s="146"/>
      <c r="Z228" s="146"/>
      <c r="AA228" s="146"/>
    </row>
    <row r="229" spans="1:27" ht="15.75" customHeight="1" x14ac:dyDescent="0.25">
      <c r="A229" s="146"/>
      <c r="B229" s="146"/>
      <c r="C229" s="146"/>
      <c r="D229" s="146"/>
      <c r="E229" s="146"/>
      <c r="F229" s="146"/>
      <c r="G229" s="146"/>
      <c r="H229" s="146"/>
      <c r="I229" s="146"/>
      <c r="J229" s="146"/>
      <c r="K229" s="146"/>
      <c r="L229" s="146"/>
      <c r="M229" s="146"/>
      <c r="N229" s="146"/>
      <c r="O229" s="146"/>
      <c r="P229" s="146"/>
      <c r="Q229" s="146"/>
      <c r="R229" s="146"/>
      <c r="S229" s="146"/>
      <c r="T229" s="146"/>
      <c r="U229" s="146"/>
      <c r="V229" s="146"/>
      <c r="W229" s="146"/>
      <c r="X229" s="146"/>
      <c r="Y229" s="146"/>
      <c r="Z229" s="146"/>
      <c r="AA229" s="146"/>
    </row>
    <row r="230" spans="1:27" ht="15.75" customHeight="1" x14ac:dyDescent="0.25">
      <c r="A230" s="146"/>
      <c r="B230" s="146"/>
      <c r="C230" s="146"/>
      <c r="D230" s="146"/>
      <c r="E230" s="146"/>
      <c r="F230" s="146"/>
      <c r="G230" s="146"/>
      <c r="H230" s="146"/>
      <c r="I230" s="146"/>
      <c r="J230" s="146"/>
      <c r="K230" s="146"/>
      <c r="L230" s="146"/>
      <c r="M230" s="146"/>
      <c r="N230" s="146"/>
      <c r="O230" s="146"/>
      <c r="P230" s="146"/>
      <c r="Q230" s="146"/>
      <c r="R230" s="146"/>
      <c r="S230" s="146"/>
      <c r="T230" s="146"/>
      <c r="U230" s="146"/>
      <c r="V230" s="146"/>
      <c r="W230" s="146"/>
      <c r="X230" s="146"/>
      <c r="Y230" s="146"/>
      <c r="Z230" s="146"/>
      <c r="AA230" s="146"/>
    </row>
    <row r="231" spans="1:27" ht="15.75" customHeight="1" x14ac:dyDescent="0.25">
      <c r="A231" s="146"/>
      <c r="B231" s="146"/>
      <c r="C231" s="146"/>
      <c r="D231" s="146"/>
      <c r="E231" s="146"/>
      <c r="F231" s="146"/>
      <c r="G231" s="146"/>
      <c r="H231" s="146"/>
      <c r="I231" s="146"/>
      <c r="J231" s="146"/>
      <c r="K231" s="146"/>
      <c r="L231" s="146"/>
      <c r="M231" s="146"/>
      <c r="N231" s="146"/>
      <c r="O231" s="146"/>
      <c r="P231" s="146"/>
      <c r="Q231" s="146"/>
      <c r="R231" s="146"/>
      <c r="S231" s="146"/>
      <c r="T231" s="146"/>
      <c r="U231" s="146"/>
      <c r="V231" s="146"/>
      <c r="W231" s="146"/>
      <c r="X231" s="146"/>
      <c r="Y231" s="146"/>
      <c r="Z231" s="146"/>
      <c r="AA231" s="146"/>
    </row>
    <row r="232" spans="1:27" ht="15.75" customHeight="1" x14ac:dyDescent="0.25">
      <c r="A232" s="146"/>
      <c r="B232" s="146"/>
      <c r="C232" s="146"/>
      <c r="D232" s="146"/>
      <c r="E232" s="146"/>
      <c r="F232" s="146"/>
      <c r="G232" s="146"/>
      <c r="H232" s="146"/>
      <c r="I232" s="146"/>
      <c r="J232" s="146"/>
      <c r="K232" s="146"/>
      <c r="L232" s="146"/>
      <c r="M232" s="146"/>
      <c r="N232" s="146"/>
      <c r="O232" s="146"/>
      <c r="P232" s="146"/>
      <c r="Q232" s="146"/>
      <c r="R232" s="146"/>
      <c r="S232" s="146"/>
      <c r="T232" s="146"/>
      <c r="U232" s="146"/>
      <c r="V232" s="146"/>
      <c r="W232" s="146"/>
      <c r="X232" s="146"/>
      <c r="Y232" s="146"/>
      <c r="Z232" s="146"/>
      <c r="AA232" s="146"/>
    </row>
    <row r="233" spans="1:27" ht="15.75" customHeight="1" x14ac:dyDescent="0.25">
      <c r="A233" s="146"/>
      <c r="B233" s="146"/>
      <c r="C233" s="146"/>
      <c r="D233" s="146"/>
      <c r="E233" s="146"/>
      <c r="F233" s="146"/>
      <c r="G233" s="146"/>
      <c r="H233" s="146"/>
      <c r="I233" s="146"/>
      <c r="J233" s="146"/>
      <c r="K233" s="146"/>
      <c r="L233" s="146"/>
      <c r="M233" s="146"/>
      <c r="N233" s="146"/>
      <c r="O233" s="146"/>
      <c r="P233" s="146"/>
      <c r="Q233" s="146"/>
      <c r="R233" s="146"/>
      <c r="S233" s="146"/>
      <c r="T233" s="146"/>
      <c r="U233" s="146"/>
      <c r="V233" s="146"/>
      <c r="W233" s="146"/>
      <c r="X233" s="146"/>
      <c r="Y233" s="146"/>
      <c r="Z233" s="146"/>
      <c r="AA233" s="146"/>
    </row>
    <row r="234" spans="1:27" ht="15.75" customHeight="1" x14ac:dyDescent="0.25">
      <c r="A234" s="146"/>
      <c r="B234" s="146"/>
      <c r="C234" s="146"/>
      <c r="D234" s="146"/>
      <c r="E234" s="146"/>
      <c r="F234" s="146"/>
      <c r="G234" s="146"/>
      <c r="H234" s="146"/>
      <c r="I234" s="146"/>
      <c r="J234" s="146"/>
      <c r="K234" s="146"/>
      <c r="L234" s="146"/>
      <c r="M234" s="146"/>
      <c r="N234" s="146"/>
      <c r="O234" s="146"/>
      <c r="P234" s="146"/>
      <c r="Q234" s="146"/>
      <c r="R234" s="146"/>
      <c r="S234" s="146"/>
      <c r="T234" s="146"/>
      <c r="U234" s="146"/>
      <c r="V234" s="146"/>
      <c r="W234" s="146"/>
      <c r="X234" s="146"/>
      <c r="Y234" s="146"/>
      <c r="Z234" s="146"/>
      <c r="AA234" s="146"/>
    </row>
    <row r="235" spans="1:27" ht="15.75" customHeight="1" x14ac:dyDescent="0.25">
      <c r="A235" s="146"/>
      <c r="B235" s="146"/>
      <c r="C235" s="146"/>
      <c r="D235" s="146"/>
      <c r="E235" s="146"/>
      <c r="F235" s="146"/>
      <c r="G235" s="146"/>
      <c r="H235" s="146"/>
      <c r="I235" s="146"/>
      <c r="J235" s="146"/>
      <c r="K235" s="146"/>
      <c r="L235" s="146"/>
      <c r="M235" s="146"/>
      <c r="N235" s="146"/>
      <c r="O235" s="146"/>
      <c r="P235" s="146"/>
      <c r="Q235" s="146"/>
      <c r="R235" s="146"/>
      <c r="S235" s="146"/>
      <c r="T235" s="146"/>
      <c r="U235" s="146"/>
      <c r="V235" s="146"/>
      <c r="W235" s="146"/>
      <c r="X235" s="146"/>
      <c r="Y235" s="146"/>
      <c r="Z235" s="146"/>
      <c r="AA235" s="146"/>
    </row>
    <row r="236" spans="1:27" ht="15.75" customHeight="1" x14ac:dyDescent="0.25">
      <c r="A236" s="146"/>
      <c r="B236" s="146"/>
      <c r="C236" s="146"/>
      <c r="D236" s="146"/>
      <c r="E236" s="146"/>
      <c r="F236" s="146"/>
      <c r="G236" s="146"/>
      <c r="H236" s="146"/>
      <c r="I236" s="146"/>
      <c r="J236" s="146"/>
      <c r="K236" s="146"/>
      <c r="L236" s="146"/>
      <c r="M236" s="146"/>
      <c r="N236" s="146"/>
      <c r="O236" s="146"/>
      <c r="P236" s="146"/>
      <c r="Q236" s="146"/>
      <c r="R236" s="146"/>
      <c r="S236" s="146"/>
      <c r="T236" s="146"/>
      <c r="U236" s="146"/>
      <c r="V236" s="146"/>
      <c r="W236" s="146"/>
      <c r="X236" s="146"/>
      <c r="Y236" s="146"/>
      <c r="Z236" s="146"/>
      <c r="AA236" s="146"/>
    </row>
    <row r="237" spans="1:27" ht="15.75" customHeight="1" x14ac:dyDescent="0.25">
      <c r="A237" s="146"/>
      <c r="B237" s="146"/>
      <c r="C237" s="146"/>
      <c r="D237" s="146"/>
      <c r="E237" s="146"/>
      <c r="F237" s="146"/>
      <c r="G237" s="146"/>
      <c r="H237" s="146"/>
      <c r="I237" s="146"/>
      <c r="J237" s="146"/>
      <c r="K237" s="146"/>
      <c r="L237" s="146"/>
      <c r="M237" s="146"/>
      <c r="N237" s="146"/>
      <c r="O237" s="146"/>
      <c r="P237" s="146"/>
      <c r="Q237" s="146"/>
      <c r="R237" s="146"/>
      <c r="S237" s="146"/>
      <c r="T237" s="146"/>
      <c r="U237" s="146"/>
      <c r="V237" s="146"/>
      <c r="W237" s="146"/>
      <c r="X237" s="146"/>
      <c r="Y237" s="146"/>
      <c r="Z237" s="146"/>
      <c r="AA237" s="146"/>
    </row>
    <row r="238" spans="1:27" ht="15.75" customHeight="1" x14ac:dyDescent="0.25">
      <c r="A238" s="146"/>
      <c r="B238" s="146"/>
      <c r="C238" s="146"/>
      <c r="D238" s="146"/>
      <c r="E238" s="146"/>
      <c r="F238" s="146"/>
      <c r="G238" s="146"/>
      <c r="H238" s="146"/>
      <c r="I238" s="146"/>
      <c r="J238" s="146"/>
      <c r="K238" s="146"/>
      <c r="L238" s="146"/>
      <c r="M238" s="146"/>
      <c r="N238" s="146"/>
      <c r="O238" s="146"/>
      <c r="P238" s="146"/>
      <c r="Q238" s="146"/>
      <c r="R238" s="146"/>
      <c r="S238" s="146"/>
      <c r="T238" s="146"/>
      <c r="U238" s="146"/>
      <c r="V238" s="146"/>
      <c r="W238" s="146"/>
      <c r="X238" s="146"/>
      <c r="Y238" s="146"/>
      <c r="Z238" s="146"/>
      <c r="AA238" s="146"/>
    </row>
    <row r="239" spans="1:27" ht="15.75" customHeight="1" x14ac:dyDescent="0.25">
      <c r="A239" s="146"/>
      <c r="B239" s="146"/>
      <c r="C239" s="146"/>
      <c r="D239" s="146"/>
      <c r="E239" s="146"/>
      <c r="F239" s="146"/>
      <c r="G239" s="146"/>
      <c r="H239" s="146"/>
      <c r="I239" s="146"/>
      <c r="J239" s="146"/>
      <c r="K239" s="146"/>
      <c r="L239" s="146"/>
      <c r="M239" s="146"/>
      <c r="N239" s="146"/>
      <c r="O239" s="146"/>
      <c r="P239" s="146"/>
      <c r="Q239" s="146"/>
      <c r="R239" s="146"/>
      <c r="S239" s="146"/>
      <c r="T239" s="146"/>
      <c r="U239" s="146"/>
      <c r="V239" s="146"/>
      <c r="W239" s="146"/>
      <c r="X239" s="146"/>
      <c r="Y239" s="146"/>
      <c r="Z239" s="146"/>
      <c r="AA239" s="146"/>
    </row>
    <row r="240" spans="1:27" ht="15.75" customHeight="1" x14ac:dyDescent="0.25">
      <c r="A240" s="146"/>
      <c r="B240" s="146"/>
      <c r="C240" s="146"/>
      <c r="D240" s="146"/>
      <c r="E240" s="146"/>
      <c r="F240" s="146"/>
      <c r="G240" s="146"/>
      <c r="H240" s="146"/>
      <c r="I240" s="146"/>
      <c r="J240" s="146"/>
      <c r="K240" s="146"/>
      <c r="L240" s="146"/>
      <c r="M240" s="146"/>
      <c r="N240" s="146"/>
      <c r="O240" s="146"/>
      <c r="P240" s="146"/>
      <c r="Q240" s="146"/>
      <c r="R240" s="146"/>
      <c r="S240" s="146"/>
      <c r="T240" s="146"/>
      <c r="U240" s="146"/>
      <c r="V240" s="146"/>
      <c r="W240" s="146"/>
      <c r="X240" s="146"/>
      <c r="Y240" s="146"/>
      <c r="Z240" s="146"/>
      <c r="AA240" s="146"/>
    </row>
    <row r="241" spans="1:27" ht="15.75" customHeight="1" x14ac:dyDescent="0.25">
      <c r="A241" s="146"/>
      <c r="B241" s="146"/>
      <c r="C241" s="146"/>
      <c r="D241" s="146"/>
      <c r="E241" s="146"/>
      <c r="F241" s="146"/>
      <c r="G241" s="146"/>
      <c r="H241" s="146"/>
      <c r="I241" s="146"/>
      <c r="J241" s="146"/>
      <c r="K241" s="146"/>
      <c r="L241" s="146"/>
      <c r="M241" s="146"/>
      <c r="N241" s="146"/>
      <c r="O241" s="146"/>
      <c r="P241" s="146"/>
      <c r="Q241" s="146"/>
      <c r="R241" s="146"/>
      <c r="S241" s="146"/>
      <c r="T241" s="146"/>
      <c r="U241" s="146"/>
      <c r="V241" s="146"/>
      <c r="W241" s="146"/>
      <c r="X241" s="146"/>
      <c r="Y241" s="146"/>
      <c r="Z241" s="146"/>
      <c r="AA241" s="146"/>
    </row>
    <row r="242" spans="1:27" ht="15.75" customHeight="1" x14ac:dyDescent="0.25">
      <c r="A242" s="146"/>
      <c r="B242" s="146"/>
      <c r="C242" s="146"/>
      <c r="D242" s="146"/>
      <c r="E242" s="146"/>
      <c r="F242" s="146"/>
      <c r="G242" s="146"/>
      <c r="H242" s="146"/>
      <c r="I242" s="146"/>
      <c r="J242" s="146"/>
      <c r="K242" s="146"/>
      <c r="L242" s="146"/>
      <c r="M242" s="146"/>
      <c r="N242" s="146"/>
      <c r="O242" s="146"/>
      <c r="P242" s="146"/>
      <c r="Q242" s="146"/>
      <c r="R242" s="146"/>
      <c r="S242" s="146"/>
      <c r="T242" s="146"/>
      <c r="U242" s="146"/>
      <c r="V242" s="146"/>
      <c r="W242" s="146"/>
      <c r="X242" s="146"/>
      <c r="Y242" s="146"/>
      <c r="Z242" s="146"/>
      <c r="AA242" s="146"/>
    </row>
    <row r="243" spans="1:27" ht="15.75" customHeight="1" x14ac:dyDescent="0.25">
      <c r="A243" s="146"/>
      <c r="B243" s="146"/>
      <c r="C243" s="146"/>
      <c r="D243" s="146"/>
      <c r="E243" s="146"/>
      <c r="F243" s="146"/>
      <c r="G243" s="146"/>
      <c r="H243" s="146"/>
      <c r="I243" s="146"/>
      <c r="J243" s="146"/>
      <c r="K243" s="146"/>
      <c r="L243" s="146"/>
      <c r="M243" s="146"/>
      <c r="N243" s="146"/>
      <c r="O243" s="146"/>
      <c r="P243" s="146"/>
      <c r="Q243" s="146"/>
      <c r="R243" s="146"/>
      <c r="S243" s="146"/>
      <c r="T243" s="146"/>
      <c r="U243" s="146"/>
      <c r="V243" s="146"/>
      <c r="W243" s="146"/>
      <c r="X243" s="146"/>
      <c r="Y243" s="146"/>
      <c r="Z243" s="146"/>
      <c r="AA243" s="146"/>
    </row>
    <row r="244" spans="1:27" ht="15.75" customHeight="1" x14ac:dyDescent="0.25">
      <c r="A244" s="146"/>
      <c r="B244" s="146"/>
      <c r="C244" s="146"/>
      <c r="D244" s="146"/>
      <c r="E244" s="146"/>
      <c r="F244" s="146"/>
      <c r="G244" s="146"/>
      <c r="H244" s="146"/>
      <c r="I244" s="146"/>
      <c r="J244" s="146"/>
      <c r="K244" s="146"/>
      <c r="L244" s="146"/>
      <c r="M244" s="146"/>
      <c r="N244" s="146"/>
      <c r="O244" s="146"/>
      <c r="P244" s="146"/>
      <c r="Q244" s="146"/>
      <c r="R244" s="146"/>
      <c r="S244" s="146"/>
      <c r="T244" s="146"/>
      <c r="U244" s="146"/>
      <c r="V244" s="146"/>
      <c r="W244" s="146"/>
      <c r="X244" s="146"/>
      <c r="Y244" s="146"/>
      <c r="Z244" s="146"/>
      <c r="AA244" s="146"/>
    </row>
    <row r="245" spans="1:27" ht="15.75" customHeight="1" x14ac:dyDescent="0.25">
      <c r="A245" s="146"/>
      <c r="B245" s="146"/>
      <c r="C245" s="146"/>
      <c r="D245" s="146"/>
      <c r="E245" s="146"/>
      <c r="F245" s="146"/>
      <c r="G245" s="146"/>
      <c r="H245" s="146"/>
      <c r="I245" s="146"/>
      <c r="J245" s="146"/>
      <c r="K245" s="146"/>
      <c r="L245" s="146"/>
      <c r="M245" s="146"/>
      <c r="N245" s="146"/>
      <c r="O245" s="146"/>
      <c r="P245" s="146"/>
      <c r="Q245" s="146"/>
      <c r="R245" s="146"/>
      <c r="S245" s="146"/>
      <c r="T245" s="146"/>
      <c r="U245" s="146"/>
      <c r="V245" s="146"/>
      <c r="W245" s="146"/>
      <c r="X245" s="146"/>
      <c r="Y245" s="146"/>
      <c r="Z245" s="146"/>
      <c r="AA245" s="146"/>
    </row>
    <row r="246" spans="1:27" ht="15.75" customHeight="1" x14ac:dyDescent="0.25">
      <c r="A246" s="146"/>
      <c r="B246" s="146"/>
      <c r="C246" s="146"/>
      <c r="D246" s="146"/>
      <c r="E246" s="146"/>
      <c r="F246" s="146"/>
      <c r="G246" s="146"/>
      <c r="H246" s="146"/>
      <c r="I246" s="146"/>
      <c r="J246" s="146"/>
      <c r="K246" s="146"/>
      <c r="L246" s="146"/>
      <c r="M246" s="146"/>
      <c r="N246" s="146"/>
      <c r="O246" s="146"/>
      <c r="P246" s="146"/>
      <c r="Q246" s="146"/>
      <c r="R246" s="146"/>
      <c r="S246" s="146"/>
      <c r="T246" s="146"/>
      <c r="U246" s="146"/>
      <c r="V246" s="146"/>
      <c r="W246" s="146"/>
      <c r="X246" s="146"/>
      <c r="Y246" s="146"/>
      <c r="Z246" s="146"/>
      <c r="AA246" s="146"/>
    </row>
    <row r="247" spans="1:27" ht="15.75" customHeight="1" x14ac:dyDescent="0.25">
      <c r="A247" s="146"/>
      <c r="B247" s="146"/>
      <c r="C247" s="146"/>
      <c r="D247" s="146"/>
      <c r="E247" s="146"/>
      <c r="F247" s="146"/>
      <c r="G247" s="146"/>
      <c r="H247" s="146"/>
      <c r="I247" s="146"/>
      <c r="J247" s="146"/>
      <c r="K247" s="146"/>
      <c r="L247" s="146"/>
      <c r="M247" s="146"/>
      <c r="N247" s="146"/>
      <c r="O247" s="146"/>
      <c r="P247" s="146"/>
      <c r="Q247" s="146"/>
      <c r="R247" s="146"/>
      <c r="S247" s="146"/>
      <c r="T247" s="146"/>
      <c r="U247" s="146"/>
      <c r="V247" s="146"/>
      <c r="W247" s="146"/>
      <c r="X247" s="146"/>
      <c r="Y247" s="146"/>
      <c r="Z247" s="146"/>
      <c r="AA247" s="146"/>
    </row>
    <row r="248" spans="1:27" ht="15.75" customHeight="1" x14ac:dyDescent="0.25">
      <c r="A248" s="146"/>
      <c r="B248" s="146"/>
      <c r="C248" s="146"/>
      <c r="D248" s="146"/>
      <c r="E248" s="146"/>
      <c r="F248" s="146"/>
      <c r="G248" s="146"/>
      <c r="H248" s="146"/>
      <c r="I248" s="146"/>
      <c r="J248" s="146"/>
      <c r="K248" s="146"/>
      <c r="L248" s="146"/>
      <c r="M248" s="146"/>
      <c r="N248" s="146"/>
      <c r="O248" s="146"/>
      <c r="P248" s="146"/>
      <c r="Q248" s="146"/>
      <c r="R248" s="146"/>
      <c r="S248" s="146"/>
      <c r="T248" s="146"/>
      <c r="U248" s="146"/>
      <c r="V248" s="146"/>
      <c r="W248" s="146"/>
      <c r="X248" s="146"/>
      <c r="Y248" s="146"/>
      <c r="Z248" s="146"/>
      <c r="AA248" s="146"/>
    </row>
    <row r="249" spans="1:27" ht="15.75" customHeight="1" x14ac:dyDescent="0.25">
      <c r="A249" s="146"/>
      <c r="B249" s="146"/>
      <c r="C249" s="146"/>
      <c r="D249" s="146"/>
      <c r="E249" s="146"/>
      <c r="F249" s="146"/>
      <c r="G249" s="146"/>
      <c r="H249" s="146"/>
      <c r="I249" s="146"/>
      <c r="J249" s="146"/>
      <c r="K249" s="146"/>
      <c r="L249" s="146"/>
      <c r="M249" s="146"/>
      <c r="N249" s="146"/>
      <c r="O249" s="146"/>
      <c r="P249" s="146"/>
      <c r="Q249" s="146"/>
      <c r="R249" s="146"/>
      <c r="S249" s="146"/>
      <c r="T249" s="146"/>
      <c r="U249" s="146"/>
      <c r="V249" s="146"/>
      <c r="W249" s="146"/>
      <c r="X249" s="146"/>
      <c r="Y249" s="146"/>
      <c r="Z249" s="146"/>
      <c r="AA249" s="146"/>
    </row>
    <row r="250" spans="1:27" ht="15.75" customHeight="1" x14ac:dyDescent="0.25">
      <c r="A250" s="146"/>
      <c r="B250" s="146"/>
      <c r="C250" s="146"/>
      <c r="D250" s="146"/>
      <c r="E250" s="146"/>
      <c r="F250" s="146"/>
      <c r="G250" s="146"/>
      <c r="H250" s="146"/>
      <c r="I250" s="146"/>
      <c r="J250" s="146"/>
      <c r="K250" s="146"/>
      <c r="L250" s="146"/>
      <c r="M250" s="146"/>
      <c r="N250" s="146"/>
      <c r="O250" s="146"/>
      <c r="P250" s="146"/>
      <c r="Q250" s="146"/>
      <c r="R250" s="146"/>
      <c r="S250" s="146"/>
      <c r="T250" s="146"/>
      <c r="U250" s="146"/>
      <c r="V250" s="146"/>
      <c r="W250" s="146"/>
      <c r="X250" s="146"/>
      <c r="Y250" s="146"/>
      <c r="Z250" s="146"/>
      <c r="AA250" s="146"/>
    </row>
    <row r="251" spans="1:27" ht="15.75" customHeight="1" x14ac:dyDescent="0.25">
      <c r="A251" s="146"/>
      <c r="B251" s="146"/>
      <c r="C251" s="146"/>
      <c r="D251" s="146"/>
      <c r="E251" s="146"/>
      <c r="F251" s="146"/>
      <c r="G251" s="146"/>
      <c r="H251" s="146"/>
      <c r="I251" s="146"/>
      <c r="J251" s="146"/>
      <c r="K251" s="146"/>
      <c r="L251" s="146"/>
      <c r="M251" s="146"/>
      <c r="N251" s="146"/>
      <c r="O251" s="146"/>
      <c r="P251" s="146"/>
      <c r="Q251" s="146"/>
      <c r="R251" s="146"/>
      <c r="S251" s="146"/>
      <c r="T251" s="146"/>
      <c r="U251" s="146"/>
      <c r="V251" s="146"/>
      <c r="W251" s="146"/>
      <c r="X251" s="146"/>
      <c r="Y251" s="146"/>
      <c r="Z251" s="146"/>
      <c r="AA251" s="146"/>
    </row>
    <row r="252" spans="1:27" ht="15.75" customHeight="1" x14ac:dyDescent="0.25">
      <c r="A252" s="146"/>
      <c r="B252" s="146"/>
      <c r="C252" s="146"/>
      <c r="D252" s="146"/>
      <c r="E252" s="146"/>
      <c r="F252" s="146"/>
      <c r="G252" s="146"/>
      <c r="H252" s="146"/>
      <c r="I252" s="146"/>
      <c r="J252" s="146"/>
      <c r="K252" s="146"/>
      <c r="L252" s="146"/>
      <c r="M252" s="146"/>
      <c r="N252" s="146"/>
      <c r="O252" s="146"/>
      <c r="P252" s="146"/>
      <c r="Q252" s="146"/>
      <c r="R252" s="146"/>
      <c r="S252" s="146"/>
      <c r="T252" s="146"/>
      <c r="U252" s="146"/>
      <c r="V252" s="146"/>
      <c r="W252" s="146"/>
      <c r="X252" s="146"/>
      <c r="Y252" s="146"/>
      <c r="Z252" s="146"/>
      <c r="AA252" s="146"/>
    </row>
    <row r="253" spans="1:27" ht="15.75" customHeight="1" x14ac:dyDescent="0.25">
      <c r="A253" s="146"/>
      <c r="B253" s="146"/>
      <c r="C253" s="146"/>
      <c r="D253" s="146"/>
      <c r="E253" s="146"/>
      <c r="F253" s="146"/>
      <c r="G253" s="146"/>
      <c r="H253" s="146"/>
      <c r="I253" s="146"/>
      <c r="J253" s="146"/>
      <c r="K253" s="146"/>
      <c r="L253" s="146"/>
      <c r="M253" s="146"/>
      <c r="N253" s="146"/>
      <c r="O253" s="146"/>
      <c r="P253" s="146"/>
      <c r="Q253" s="146"/>
      <c r="R253" s="146"/>
      <c r="S253" s="146"/>
      <c r="T253" s="146"/>
      <c r="U253" s="146"/>
      <c r="V253" s="146"/>
      <c r="W253" s="146"/>
      <c r="X253" s="146"/>
      <c r="Y253" s="146"/>
      <c r="Z253" s="146"/>
      <c r="AA253" s="146"/>
    </row>
    <row r="254" spans="1:27" ht="15.75" customHeight="1" x14ac:dyDescent="0.25">
      <c r="A254" s="146"/>
      <c r="B254" s="146"/>
      <c r="C254" s="146"/>
      <c r="D254" s="146"/>
      <c r="E254" s="146"/>
      <c r="F254" s="146"/>
      <c r="G254" s="146"/>
      <c r="H254" s="146"/>
      <c r="I254" s="146"/>
      <c r="J254" s="146"/>
      <c r="K254" s="146"/>
      <c r="L254" s="146"/>
      <c r="M254" s="146"/>
      <c r="N254" s="146"/>
      <c r="O254" s="146"/>
      <c r="P254" s="146"/>
      <c r="Q254" s="146"/>
      <c r="R254" s="146"/>
      <c r="S254" s="146"/>
      <c r="T254" s="146"/>
      <c r="U254" s="146"/>
      <c r="V254" s="146"/>
      <c r="W254" s="146"/>
      <c r="X254" s="146"/>
      <c r="Y254" s="146"/>
      <c r="Z254" s="146"/>
      <c r="AA254" s="146"/>
    </row>
    <row r="255" spans="1:27" ht="15.75" customHeight="1" x14ac:dyDescent="0.25">
      <c r="A255" s="146"/>
      <c r="B255" s="146"/>
      <c r="C255" s="146"/>
      <c r="D255" s="146"/>
      <c r="E255" s="146"/>
      <c r="F255" s="146"/>
      <c r="G255" s="146"/>
      <c r="H255" s="146"/>
      <c r="I255" s="146"/>
      <c r="J255" s="146"/>
      <c r="K255" s="146"/>
      <c r="L255" s="146"/>
      <c r="M255" s="146"/>
      <c r="N255" s="146"/>
      <c r="O255" s="146"/>
      <c r="P255" s="146"/>
      <c r="Q255" s="146"/>
      <c r="R255" s="146"/>
      <c r="S255" s="146"/>
      <c r="T255" s="146"/>
      <c r="U255" s="146"/>
      <c r="V255" s="146"/>
      <c r="W255" s="146"/>
      <c r="X255" s="146"/>
      <c r="Y255" s="146"/>
      <c r="Z255" s="146"/>
      <c r="AA255" s="146"/>
    </row>
    <row r="256" spans="1:27" ht="15.75" customHeight="1" x14ac:dyDescent="0.25">
      <c r="A256" s="146"/>
      <c r="B256" s="146"/>
      <c r="C256" s="146"/>
      <c r="D256" s="146"/>
      <c r="E256" s="146"/>
      <c r="F256" s="146"/>
      <c r="G256" s="146"/>
      <c r="H256" s="146"/>
      <c r="I256" s="146"/>
      <c r="J256" s="146"/>
      <c r="K256" s="146"/>
      <c r="L256" s="146"/>
      <c r="M256" s="146"/>
      <c r="N256" s="146"/>
      <c r="O256" s="146"/>
      <c r="P256" s="146"/>
      <c r="Q256" s="146"/>
      <c r="R256" s="146"/>
      <c r="S256" s="146"/>
      <c r="T256" s="146"/>
      <c r="U256" s="146"/>
      <c r="V256" s="146"/>
      <c r="W256" s="146"/>
      <c r="X256" s="146"/>
      <c r="Y256" s="146"/>
      <c r="Z256" s="146"/>
      <c r="AA256" s="146"/>
    </row>
    <row r="257" spans="1:27" ht="15.75" customHeight="1" x14ac:dyDescent="0.25">
      <c r="A257" s="146"/>
      <c r="B257" s="146"/>
      <c r="C257" s="146"/>
      <c r="D257" s="146"/>
      <c r="E257" s="146"/>
      <c r="F257" s="146"/>
      <c r="G257" s="146"/>
      <c r="H257" s="146"/>
      <c r="I257" s="146"/>
      <c r="J257" s="146"/>
      <c r="K257" s="146"/>
      <c r="L257" s="146"/>
      <c r="M257" s="146"/>
      <c r="N257" s="146"/>
      <c r="O257" s="146"/>
      <c r="P257" s="146"/>
      <c r="Q257" s="146"/>
      <c r="R257" s="146"/>
      <c r="S257" s="146"/>
      <c r="T257" s="146"/>
      <c r="U257" s="146"/>
      <c r="V257" s="146"/>
      <c r="W257" s="146"/>
      <c r="X257" s="146"/>
      <c r="Y257" s="146"/>
      <c r="Z257" s="146"/>
      <c r="AA257" s="146"/>
    </row>
    <row r="258" spans="1:27" ht="15.75" customHeight="1" x14ac:dyDescent="0.25">
      <c r="A258" s="146"/>
      <c r="B258" s="146"/>
      <c r="C258" s="146"/>
      <c r="D258" s="146"/>
      <c r="E258" s="146"/>
      <c r="F258" s="146"/>
      <c r="G258" s="146"/>
      <c r="H258" s="146"/>
      <c r="I258" s="146"/>
      <c r="J258" s="146"/>
      <c r="K258" s="146"/>
      <c r="L258" s="146"/>
      <c r="M258" s="146"/>
      <c r="N258" s="146"/>
      <c r="O258" s="146"/>
      <c r="P258" s="146"/>
      <c r="Q258" s="146"/>
      <c r="R258" s="146"/>
      <c r="S258" s="146"/>
      <c r="T258" s="146"/>
      <c r="U258" s="146"/>
      <c r="V258" s="146"/>
      <c r="W258" s="146"/>
      <c r="X258" s="146"/>
      <c r="Y258" s="146"/>
      <c r="Z258" s="146"/>
      <c r="AA258" s="146"/>
    </row>
    <row r="259" spans="1:27" ht="15.75" customHeight="1" x14ac:dyDescent="0.25">
      <c r="A259" s="146"/>
      <c r="B259" s="146"/>
      <c r="C259" s="146"/>
      <c r="D259" s="146"/>
      <c r="E259" s="146"/>
      <c r="F259" s="146"/>
      <c r="G259" s="146"/>
      <c r="H259" s="146"/>
      <c r="I259" s="146"/>
      <c r="J259" s="146"/>
      <c r="K259" s="146"/>
      <c r="L259" s="146"/>
      <c r="M259" s="146"/>
      <c r="N259" s="146"/>
      <c r="O259" s="146"/>
      <c r="P259" s="146"/>
      <c r="Q259" s="146"/>
      <c r="R259" s="146"/>
      <c r="S259" s="146"/>
      <c r="T259" s="146"/>
      <c r="U259" s="146"/>
      <c r="V259" s="146"/>
      <c r="W259" s="146"/>
      <c r="X259" s="146"/>
      <c r="Y259" s="146"/>
      <c r="Z259" s="146"/>
      <c r="AA259" s="146"/>
    </row>
    <row r="260" spans="1:27" ht="15.75" customHeight="1" x14ac:dyDescent="0.25">
      <c r="A260" s="146"/>
      <c r="B260" s="146"/>
      <c r="C260" s="146"/>
      <c r="D260" s="146"/>
      <c r="E260" s="146"/>
      <c r="F260" s="146"/>
      <c r="G260" s="146"/>
      <c r="H260" s="146"/>
      <c r="I260" s="146"/>
      <c r="J260" s="146"/>
      <c r="K260" s="146"/>
      <c r="L260" s="146"/>
      <c r="M260" s="146"/>
      <c r="N260" s="146"/>
      <c r="O260" s="146"/>
      <c r="P260" s="146"/>
      <c r="Q260" s="146"/>
      <c r="R260" s="146"/>
      <c r="S260" s="146"/>
      <c r="T260" s="146"/>
      <c r="U260" s="146"/>
      <c r="V260" s="146"/>
      <c r="W260" s="146"/>
      <c r="X260" s="146"/>
      <c r="Y260" s="146"/>
      <c r="Z260" s="146"/>
      <c r="AA260" s="146"/>
    </row>
    <row r="261" spans="1:27" ht="15.75" customHeight="1" x14ac:dyDescent="0.25">
      <c r="A261" s="146"/>
      <c r="B261" s="146"/>
      <c r="C261" s="146"/>
      <c r="D261" s="146"/>
      <c r="E261" s="146"/>
      <c r="F261" s="146"/>
      <c r="G261" s="146"/>
      <c r="H261" s="146"/>
      <c r="I261" s="146"/>
      <c r="J261" s="146"/>
      <c r="K261" s="146"/>
      <c r="L261" s="146"/>
      <c r="M261" s="146"/>
      <c r="N261" s="146"/>
      <c r="O261" s="146"/>
      <c r="P261" s="146"/>
      <c r="Q261" s="146"/>
      <c r="R261" s="146"/>
      <c r="S261" s="146"/>
      <c r="T261" s="146"/>
      <c r="U261" s="146"/>
      <c r="V261" s="146"/>
      <c r="W261" s="146"/>
      <c r="X261" s="146"/>
      <c r="Y261" s="146"/>
      <c r="Z261" s="146"/>
      <c r="AA261" s="146"/>
    </row>
    <row r="262" spans="1:27" ht="15.75" customHeight="1" x14ac:dyDescent="0.25">
      <c r="A262" s="146"/>
      <c r="B262" s="146"/>
      <c r="C262" s="146"/>
      <c r="D262" s="146"/>
      <c r="E262" s="146"/>
      <c r="F262" s="146"/>
      <c r="G262" s="146"/>
      <c r="H262" s="146"/>
      <c r="I262" s="146"/>
      <c r="J262" s="146"/>
      <c r="K262" s="146"/>
      <c r="L262" s="146"/>
      <c r="M262" s="146"/>
      <c r="N262" s="146"/>
      <c r="O262" s="146"/>
      <c r="P262" s="146"/>
      <c r="Q262" s="146"/>
      <c r="R262" s="146"/>
      <c r="S262" s="146"/>
      <c r="T262" s="146"/>
      <c r="U262" s="146"/>
      <c r="V262" s="146"/>
      <c r="W262" s="146"/>
      <c r="X262" s="146"/>
      <c r="Y262" s="146"/>
      <c r="Z262" s="146"/>
      <c r="AA262" s="146"/>
    </row>
    <row r="263" spans="1:27" ht="15.75" customHeight="1" x14ac:dyDescent="0.25">
      <c r="A263" s="146"/>
      <c r="B263" s="146"/>
      <c r="C263" s="146"/>
      <c r="D263" s="146"/>
      <c r="E263" s="146"/>
      <c r="F263" s="146"/>
      <c r="G263" s="146"/>
      <c r="H263" s="146"/>
      <c r="I263" s="146"/>
      <c r="J263" s="146"/>
      <c r="K263" s="146"/>
      <c r="L263" s="146"/>
      <c r="M263" s="146"/>
      <c r="N263" s="146"/>
      <c r="O263" s="146"/>
      <c r="P263" s="146"/>
      <c r="Q263" s="146"/>
      <c r="R263" s="146"/>
      <c r="S263" s="146"/>
      <c r="T263" s="146"/>
      <c r="U263" s="146"/>
      <c r="V263" s="146"/>
      <c r="W263" s="146"/>
      <c r="X263" s="146"/>
      <c r="Y263" s="146"/>
      <c r="Z263" s="146"/>
      <c r="AA263" s="146"/>
    </row>
    <row r="264" spans="1:27" ht="15.75" customHeight="1" x14ac:dyDescent="0.25">
      <c r="A264" s="146"/>
      <c r="B264" s="146"/>
      <c r="C264" s="146"/>
      <c r="D264" s="146"/>
      <c r="E264" s="146"/>
      <c r="F264" s="146"/>
      <c r="G264" s="146"/>
      <c r="H264" s="146"/>
      <c r="I264" s="146"/>
      <c r="J264" s="146"/>
      <c r="K264" s="146"/>
      <c r="L264" s="146"/>
      <c r="M264" s="146"/>
      <c r="N264" s="146"/>
      <c r="O264" s="146"/>
      <c r="P264" s="146"/>
      <c r="Q264" s="146"/>
      <c r="R264" s="146"/>
      <c r="S264" s="146"/>
      <c r="T264" s="146"/>
      <c r="U264" s="146"/>
      <c r="V264" s="146"/>
      <c r="W264" s="146"/>
      <c r="X264" s="146"/>
      <c r="Y264" s="146"/>
      <c r="Z264" s="146"/>
      <c r="AA264" s="146"/>
    </row>
    <row r="265" spans="1:27" ht="15.75" customHeight="1" x14ac:dyDescent="0.25">
      <c r="A265" s="146"/>
      <c r="B265" s="146"/>
      <c r="C265" s="146"/>
      <c r="D265" s="146"/>
      <c r="E265" s="146"/>
      <c r="F265" s="146"/>
      <c r="G265" s="146"/>
      <c r="H265" s="146"/>
      <c r="I265" s="146"/>
      <c r="J265" s="146"/>
      <c r="K265" s="146"/>
      <c r="L265" s="146"/>
      <c r="M265" s="146"/>
      <c r="N265" s="146"/>
      <c r="O265" s="146"/>
      <c r="P265" s="146"/>
      <c r="Q265" s="146"/>
      <c r="R265" s="146"/>
      <c r="S265" s="146"/>
      <c r="T265" s="146"/>
      <c r="U265" s="146"/>
      <c r="V265" s="146"/>
      <c r="W265" s="146"/>
      <c r="X265" s="146"/>
      <c r="Y265" s="146"/>
      <c r="Z265" s="146"/>
      <c r="AA265" s="146"/>
    </row>
    <row r="266" spans="1:27" ht="15.75" customHeight="1" x14ac:dyDescent="0.25">
      <c r="A266" s="146"/>
      <c r="B266" s="146"/>
      <c r="C266" s="146"/>
      <c r="D266" s="146"/>
      <c r="E266" s="146"/>
      <c r="F266" s="146"/>
      <c r="G266" s="146"/>
      <c r="H266" s="146"/>
      <c r="I266" s="146"/>
      <c r="J266" s="146"/>
      <c r="K266" s="146"/>
      <c r="L266" s="146"/>
      <c r="M266" s="146"/>
      <c r="N266" s="146"/>
      <c r="O266" s="146"/>
      <c r="P266" s="146"/>
      <c r="Q266" s="146"/>
      <c r="R266" s="146"/>
      <c r="S266" s="146"/>
      <c r="T266" s="146"/>
      <c r="U266" s="146"/>
      <c r="V266" s="146"/>
      <c r="W266" s="146"/>
      <c r="X266" s="146"/>
      <c r="Y266" s="146"/>
      <c r="Z266" s="146"/>
      <c r="AA266" s="146"/>
    </row>
    <row r="267" spans="1:27" ht="15.75" customHeight="1" x14ac:dyDescent="0.25">
      <c r="A267" s="146"/>
      <c r="B267" s="146"/>
      <c r="C267" s="146"/>
      <c r="D267" s="146"/>
      <c r="E267" s="146"/>
      <c r="F267" s="146"/>
      <c r="G267" s="146"/>
      <c r="H267" s="146"/>
      <c r="I267" s="146"/>
      <c r="J267" s="146"/>
      <c r="K267" s="146"/>
      <c r="L267" s="146"/>
      <c r="M267" s="146"/>
      <c r="N267" s="146"/>
      <c r="O267" s="146"/>
      <c r="P267" s="146"/>
      <c r="Q267" s="146"/>
      <c r="R267" s="146"/>
      <c r="S267" s="146"/>
      <c r="T267" s="146"/>
      <c r="U267" s="146"/>
      <c r="V267" s="146"/>
      <c r="W267" s="146"/>
      <c r="X267" s="146"/>
      <c r="Y267" s="146"/>
      <c r="Z267" s="146"/>
      <c r="AA267" s="146"/>
    </row>
    <row r="268" spans="1:27" ht="15.75" customHeight="1" x14ac:dyDescent="0.25">
      <c r="A268" s="146"/>
      <c r="B268" s="146"/>
      <c r="C268" s="146"/>
      <c r="D268" s="146"/>
      <c r="E268" s="146"/>
      <c r="F268" s="146"/>
      <c r="G268" s="146"/>
      <c r="H268" s="146"/>
      <c r="I268" s="146"/>
      <c r="J268" s="146"/>
      <c r="K268" s="146"/>
      <c r="L268" s="146"/>
      <c r="M268" s="146"/>
      <c r="N268" s="146"/>
      <c r="O268" s="146"/>
      <c r="P268" s="146"/>
      <c r="Q268" s="146"/>
      <c r="R268" s="146"/>
      <c r="S268" s="146"/>
      <c r="T268" s="146"/>
      <c r="U268" s="146"/>
      <c r="V268" s="146"/>
      <c r="W268" s="146"/>
      <c r="X268" s="146"/>
      <c r="Y268" s="146"/>
      <c r="Z268" s="146"/>
      <c r="AA268" s="146"/>
    </row>
    <row r="269" spans="1:27" ht="15.75" customHeight="1" x14ac:dyDescent="0.25">
      <c r="A269" s="146"/>
      <c r="B269" s="146"/>
      <c r="C269" s="146"/>
      <c r="D269" s="146"/>
      <c r="E269" s="146"/>
      <c r="F269" s="146"/>
      <c r="G269" s="146"/>
      <c r="H269" s="146"/>
      <c r="I269" s="146"/>
      <c r="J269" s="146"/>
      <c r="K269" s="146"/>
      <c r="L269" s="146"/>
      <c r="M269" s="146"/>
      <c r="N269" s="146"/>
      <c r="O269" s="146"/>
      <c r="P269" s="146"/>
      <c r="Q269" s="146"/>
      <c r="R269" s="146"/>
      <c r="S269" s="146"/>
      <c r="T269" s="146"/>
      <c r="U269" s="146"/>
      <c r="V269" s="146"/>
      <c r="W269" s="146"/>
      <c r="X269" s="146"/>
      <c r="Y269" s="146"/>
      <c r="Z269" s="146"/>
      <c r="AA269" s="146"/>
    </row>
    <row r="270" spans="1:27" ht="15.75" customHeight="1" x14ac:dyDescent="0.25">
      <c r="A270" s="146"/>
      <c r="B270" s="146"/>
      <c r="C270" s="146"/>
      <c r="D270" s="146"/>
      <c r="E270" s="146"/>
      <c r="F270" s="146"/>
      <c r="G270" s="146"/>
      <c r="H270" s="146"/>
      <c r="I270" s="146"/>
      <c r="J270" s="146"/>
      <c r="K270" s="146"/>
      <c r="L270" s="146"/>
      <c r="M270" s="146"/>
      <c r="N270" s="146"/>
      <c r="O270" s="146"/>
      <c r="P270" s="146"/>
      <c r="Q270" s="146"/>
      <c r="R270" s="146"/>
      <c r="S270" s="146"/>
      <c r="T270" s="146"/>
      <c r="U270" s="146"/>
      <c r="V270" s="146"/>
      <c r="W270" s="146"/>
      <c r="X270" s="146"/>
      <c r="Y270" s="146"/>
      <c r="Z270" s="146"/>
      <c r="AA270" s="146"/>
    </row>
    <row r="271" spans="1:27" ht="15.75" customHeight="1" x14ac:dyDescent="0.25">
      <c r="A271" s="146"/>
      <c r="B271" s="146"/>
      <c r="C271" s="146"/>
      <c r="D271" s="146"/>
      <c r="E271" s="146"/>
      <c r="F271" s="146"/>
      <c r="G271" s="146"/>
      <c r="H271" s="146"/>
      <c r="I271" s="146"/>
      <c r="J271" s="146"/>
      <c r="K271" s="146"/>
      <c r="L271" s="146"/>
      <c r="M271" s="146"/>
      <c r="N271" s="146"/>
      <c r="O271" s="146"/>
      <c r="P271" s="146"/>
      <c r="Q271" s="146"/>
      <c r="R271" s="146"/>
      <c r="S271" s="146"/>
      <c r="T271" s="146"/>
      <c r="U271" s="146"/>
      <c r="V271" s="146"/>
      <c r="W271" s="146"/>
      <c r="X271" s="146"/>
      <c r="Y271" s="146"/>
      <c r="Z271" s="146"/>
      <c r="AA271" s="146"/>
    </row>
    <row r="272" spans="1:27" ht="15.75" customHeight="1" x14ac:dyDescent="0.25">
      <c r="A272" s="146"/>
      <c r="B272" s="146"/>
      <c r="C272" s="146"/>
      <c r="D272" s="146"/>
      <c r="E272" s="146"/>
      <c r="F272" s="146"/>
      <c r="G272" s="146"/>
      <c r="H272" s="146"/>
      <c r="I272" s="146"/>
      <c r="J272" s="146"/>
      <c r="K272" s="146"/>
      <c r="L272" s="146"/>
      <c r="M272" s="146"/>
      <c r="N272" s="146"/>
      <c r="O272" s="146"/>
      <c r="P272" s="146"/>
      <c r="Q272" s="146"/>
      <c r="R272" s="146"/>
      <c r="S272" s="146"/>
      <c r="T272" s="146"/>
      <c r="U272" s="146"/>
      <c r="V272" s="146"/>
      <c r="W272" s="146"/>
      <c r="X272" s="146"/>
      <c r="Y272" s="146"/>
      <c r="Z272" s="146"/>
      <c r="AA272" s="146"/>
    </row>
    <row r="273" spans="1:27" ht="15.75" customHeight="1" x14ac:dyDescent="0.25">
      <c r="A273" s="146"/>
      <c r="B273" s="146"/>
      <c r="C273" s="146"/>
      <c r="D273" s="146"/>
      <c r="E273" s="146"/>
      <c r="F273" s="146"/>
      <c r="G273" s="146"/>
      <c r="H273" s="146"/>
      <c r="I273" s="146"/>
      <c r="J273" s="146"/>
      <c r="K273" s="146"/>
      <c r="L273" s="146"/>
      <c r="M273" s="146"/>
      <c r="N273" s="146"/>
      <c r="O273" s="146"/>
      <c r="P273" s="146"/>
      <c r="Q273" s="146"/>
      <c r="R273" s="146"/>
      <c r="S273" s="146"/>
      <c r="T273" s="146"/>
      <c r="U273" s="146"/>
      <c r="V273" s="146"/>
      <c r="W273" s="146"/>
      <c r="X273" s="146"/>
      <c r="Y273" s="146"/>
      <c r="Z273" s="146"/>
      <c r="AA273" s="146"/>
    </row>
    <row r="274" spans="1:27" ht="15.75" customHeight="1" x14ac:dyDescent="0.25">
      <c r="A274" s="146"/>
      <c r="B274" s="146"/>
      <c r="C274" s="146"/>
      <c r="D274" s="146"/>
      <c r="E274" s="146"/>
      <c r="F274" s="146"/>
      <c r="G274" s="146"/>
      <c r="H274" s="146"/>
      <c r="I274" s="146"/>
      <c r="J274" s="146"/>
      <c r="K274" s="146"/>
      <c r="L274" s="146"/>
      <c r="M274" s="146"/>
      <c r="N274" s="146"/>
      <c r="O274" s="146"/>
      <c r="P274" s="146"/>
      <c r="Q274" s="146"/>
      <c r="R274" s="146"/>
      <c r="S274" s="146"/>
      <c r="T274" s="146"/>
      <c r="U274" s="146"/>
      <c r="V274" s="146"/>
      <c r="W274" s="146"/>
      <c r="X274" s="146"/>
      <c r="Y274" s="146"/>
      <c r="Z274" s="146"/>
      <c r="AA274" s="146"/>
    </row>
    <row r="275" spans="1:27" ht="15.75" customHeight="1" x14ac:dyDescent="0.25">
      <c r="A275" s="146"/>
      <c r="B275" s="146"/>
      <c r="C275" s="146"/>
      <c r="D275" s="146"/>
      <c r="E275" s="146"/>
      <c r="F275" s="146"/>
      <c r="G275" s="146"/>
      <c r="H275" s="146"/>
      <c r="I275" s="146"/>
      <c r="J275" s="146"/>
      <c r="K275" s="146"/>
      <c r="L275" s="146"/>
      <c r="M275" s="146"/>
      <c r="N275" s="146"/>
      <c r="O275" s="146"/>
      <c r="P275" s="146"/>
      <c r="Q275" s="146"/>
      <c r="R275" s="146"/>
      <c r="S275" s="146"/>
      <c r="T275" s="146"/>
      <c r="U275" s="146"/>
      <c r="V275" s="146"/>
      <c r="W275" s="146"/>
      <c r="X275" s="146"/>
      <c r="Y275" s="146"/>
      <c r="Z275" s="146"/>
      <c r="AA275" s="146"/>
    </row>
    <row r="276" spans="1:27" ht="15.75" customHeight="1" x14ac:dyDescent="0.25">
      <c r="A276" s="146"/>
      <c r="B276" s="146"/>
      <c r="C276" s="146"/>
      <c r="D276" s="146"/>
      <c r="E276" s="146"/>
      <c r="F276" s="146"/>
      <c r="G276" s="146"/>
      <c r="H276" s="146"/>
      <c r="I276" s="146"/>
      <c r="J276" s="146"/>
      <c r="K276" s="146"/>
      <c r="L276" s="146"/>
      <c r="M276" s="146"/>
      <c r="N276" s="146"/>
      <c r="O276" s="146"/>
      <c r="P276" s="146"/>
      <c r="Q276" s="146"/>
      <c r="R276" s="146"/>
      <c r="S276" s="146"/>
      <c r="T276" s="146"/>
      <c r="U276" s="146"/>
      <c r="V276" s="146"/>
      <c r="W276" s="146"/>
      <c r="X276" s="146"/>
      <c r="Y276" s="146"/>
      <c r="Z276" s="146"/>
      <c r="AA276" s="146"/>
    </row>
    <row r="277" spans="1:27" ht="15.75" customHeight="1" x14ac:dyDescent="0.25">
      <c r="A277" s="146"/>
      <c r="B277" s="146"/>
      <c r="C277" s="146"/>
      <c r="D277" s="146"/>
      <c r="E277" s="146"/>
      <c r="F277" s="146"/>
      <c r="G277" s="146"/>
      <c r="H277" s="146"/>
      <c r="I277" s="146"/>
      <c r="J277" s="146"/>
      <c r="K277" s="146"/>
      <c r="L277" s="146"/>
      <c r="M277" s="146"/>
      <c r="N277" s="146"/>
      <c r="O277" s="146"/>
      <c r="P277" s="146"/>
      <c r="Q277" s="146"/>
      <c r="R277" s="146"/>
      <c r="S277" s="146"/>
      <c r="T277" s="146"/>
      <c r="U277" s="146"/>
      <c r="V277" s="146"/>
      <c r="W277" s="146"/>
      <c r="X277" s="146"/>
      <c r="Y277" s="146"/>
      <c r="Z277" s="146"/>
      <c r="AA277" s="146"/>
    </row>
    <row r="278" spans="1:27" ht="15.75" customHeight="1" x14ac:dyDescent="0.25">
      <c r="A278" s="146"/>
      <c r="B278" s="146"/>
      <c r="C278" s="146"/>
      <c r="D278" s="146"/>
      <c r="E278" s="146"/>
      <c r="F278" s="146"/>
      <c r="G278" s="146"/>
      <c r="H278" s="146"/>
      <c r="I278" s="146"/>
      <c r="J278" s="146"/>
      <c r="K278" s="146"/>
      <c r="L278" s="146"/>
      <c r="M278" s="146"/>
      <c r="N278" s="146"/>
      <c r="O278" s="146"/>
      <c r="P278" s="146"/>
      <c r="Q278" s="146"/>
      <c r="R278" s="146"/>
      <c r="S278" s="146"/>
      <c r="T278" s="146"/>
      <c r="U278" s="146"/>
      <c r="V278" s="146"/>
      <c r="W278" s="146"/>
      <c r="X278" s="146"/>
      <c r="Y278" s="146"/>
      <c r="Z278" s="146"/>
      <c r="AA278" s="146"/>
    </row>
    <row r="279" spans="1:27" ht="15.75" customHeight="1" x14ac:dyDescent="0.25">
      <c r="A279" s="146"/>
      <c r="B279" s="146"/>
      <c r="C279" s="146"/>
      <c r="D279" s="146"/>
      <c r="E279" s="146"/>
      <c r="F279" s="146"/>
      <c r="G279" s="146"/>
      <c r="H279" s="146"/>
      <c r="I279" s="146"/>
      <c r="J279" s="146"/>
      <c r="K279" s="146"/>
      <c r="L279" s="146"/>
      <c r="M279" s="146"/>
      <c r="N279" s="146"/>
      <c r="O279" s="146"/>
      <c r="P279" s="146"/>
      <c r="Q279" s="146"/>
      <c r="R279" s="146"/>
      <c r="S279" s="146"/>
      <c r="T279" s="146"/>
      <c r="U279" s="146"/>
      <c r="V279" s="146"/>
      <c r="W279" s="146"/>
      <c r="X279" s="146"/>
      <c r="Y279" s="146"/>
      <c r="Z279" s="146"/>
      <c r="AA279" s="146"/>
    </row>
    <row r="280" spans="1:27" ht="15.75" customHeight="1" x14ac:dyDescent="0.25">
      <c r="A280" s="146"/>
      <c r="B280" s="146"/>
      <c r="C280" s="146"/>
      <c r="D280" s="146"/>
      <c r="E280" s="146"/>
      <c r="F280" s="146"/>
      <c r="G280" s="146"/>
      <c r="H280" s="146"/>
      <c r="I280" s="146"/>
      <c r="J280" s="146"/>
      <c r="K280" s="146"/>
      <c r="L280" s="146"/>
      <c r="M280" s="146"/>
      <c r="N280" s="146"/>
      <c r="O280" s="146"/>
      <c r="P280" s="146"/>
      <c r="Q280" s="146"/>
      <c r="R280" s="146"/>
      <c r="S280" s="146"/>
      <c r="T280" s="146"/>
      <c r="U280" s="146"/>
      <c r="V280" s="146"/>
      <c r="W280" s="146"/>
      <c r="X280" s="146"/>
      <c r="Y280" s="146"/>
      <c r="Z280" s="146"/>
      <c r="AA280" s="146"/>
    </row>
    <row r="281" spans="1:27" ht="15.75" customHeight="1" x14ac:dyDescent="0.25">
      <c r="A281" s="146"/>
      <c r="B281" s="146"/>
      <c r="C281" s="146"/>
      <c r="D281" s="146"/>
      <c r="E281" s="146"/>
      <c r="F281" s="146"/>
      <c r="G281" s="146"/>
      <c r="H281" s="146"/>
      <c r="I281" s="146"/>
      <c r="J281" s="146"/>
      <c r="K281" s="146"/>
      <c r="L281" s="146"/>
      <c r="M281" s="146"/>
      <c r="N281" s="146"/>
      <c r="O281" s="146"/>
      <c r="P281" s="146"/>
      <c r="Q281" s="146"/>
      <c r="R281" s="146"/>
      <c r="S281" s="146"/>
      <c r="T281" s="146"/>
      <c r="U281" s="146"/>
      <c r="V281" s="146"/>
      <c r="W281" s="146"/>
      <c r="X281" s="146"/>
      <c r="Y281" s="146"/>
      <c r="Z281" s="146"/>
      <c r="AA281" s="146"/>
    </row>
    <row r="282" spans="1:27" ht="15.75" customHeight="1" x14ac:dyDescent="0.25">
      <c r="A282" s="146"/>
      <c r="B282" s="146"/>
      <c r="C282" s="146"/>
      <c r="D282" s="146"/>
      <c r="E282" s="146"/>
      <c r="F282" s="146"/>
      <c r="G282" s="146"/>
      <c r="H282" s="146"/>
      <c r="I282" s="146"/>
      <c r="J282" s="146"/>
      <c r="K282" s="146"/>
      <c r="L282" s="146"/>
      <c r="M282" s="146"/>
      <c r="N282" s="146"/>
      <c r="O282" s="146"/>
      <c r="P282" s="146"/>
      <c r="Q282" s="146"/>
      <c r="R282" s="146"/>
      <c r="S282" s="146"/>
      <c r="T282" s="146"/>
      <c r="U282" s="146"/>
      <c r="V282" s="146"/>
      <c r="W282" s="146"/>
      <c r="X282" s="146"/>
      <c r="Y282" s="146"/>
      <c r="Z282" s="146"/>
      <c r="AA282" s="146"/>
    </row>
    <row r="283" spans="1:27" ht="15.75" customHeight="1" x14ac:dyDescent="0.25">
      <c r="A283" s="146"/>
      <c r="B283" s="146"/>
      <c r="C283" s="146"/>
      <c r="D283" s="146"/>
      <c r="E283" s="146"/>
      <c r="F283" s="146"/>
      <c r="G283" s="146"/>
      <c r="H283" s="146"/>
      <c r="I283" s="146"/>
      <c r="J283" s="146"/>
      <c r="K283" s="146"/>
      <c r="L283" s="146"/>
      <c r="M283" s="146"/>
      <c r="N283" s="146"/>
      <c r="O283" s="146"/>
      <c r="P283" s="146"/>
      <c r="Q283" s="146"/>
      <c r="R283" s="146"/>
      <c r="S283" s="146"/>
      <c r="T283" s="146"/>
      <c r="U283" s="146"/>
      <c r="V283" s="146"/>
      <c r="W283" s="146"/>
      <c r="X283" s="146"/>
      <c r="Y283" s="146"/>
      <c r="Z283" s="146"/>
      <c r="AA283" s="146"/>
    </row>
    <row r="284" spans="1:27" ht="15.75" customHeight="1" x14ac:dyDescent="0.25">
      <c r="A284" s="146"/>
      <c r="B284" s="146"/>
      <c r="C284" s="146"/>
      <c r="D284" s="146"/>
      <c r="E284" s="146"/>
      <c r="F284" s="146"/>
      <c r="G284" s="146"/>
      <c r="H284" s="146"/>
      <c r="I284" s="146"/>
      <c r="J284" s="146"/>
      <c r="K284" s="146"/>
      <c r="L284" s="146"/>
      <c r="M284" s="146"/>
      <c r="N284" s="146"/>
      <c r="O284" s="146"/>
      <c r="P284" s="146"/>
      <c r="Q284" s="146"/>
      <c r="R284" s="146"/>
      <c r="S284" s="146"/>
      <c r="T284" s="146"/>
      <c r="U284" s="146"/>
      <c r="V284" s="146"/>
      <c r="W284" s="146"/>
      <c r="X284" s="146"/>
      <c r="Y284" s="146"/>
      <c r="Z284" s="146"/>
      <c r="AA284" s="146"/>
    </row>
    <row r="285" spans="1:27" ht="15.75" customHeight="1" x14ac:dyDescent="0.25">
      <c r="A285" s="146"/>
      <c r="B285" s="146"/>
      <c r="C285" s="146"/>
      <c r="D285" s="146"/>
      <c r="E285" s="146"/>
      <c r="F285" s="146"/>
      <c r="G285" s="146"/>
      <c r="H285" s="146"/>
      <c r="I285" s="146"/>
      <c r="J285" s="146"/>
      <c r="K285" s="146"/>
      <c r="L285" s="146"/>
      <c r="M285" s="146"/>
      <c r="N285" s="146"/>
      <c r="O285" s="146"/>
      <c r="P285" s="146"/>
      <c r="Q285" s="146"/>
      <c r="R285" s="146"/>
      <c r="S285" s="146"/>
      <c r="T285" s="146"/>
      <c r="U285" s="146"/>
      <c r="V285" s="146"/>
      <c r="W285" s="146"/>
      <c r="X285" s="146"/>
      <c r="Y285" s="146"/>
      <c r="Z285" s="146"/>
      <c r="AA285" s="146"/>
    </row>
    <row r="286" spans="1:27" ht="15.75" customHeight="1" x14ac:dyDescent="0.25">
      <c r="A286" s="146"/>
      <c r="B286" s="146"/>
      <c r="C286" s="146"/>
      <c r="D286" s="146"/>
      <c r="E286" s="146"/>
      <c r="F286" s="146"/>
      <c r="G286" s="146"/>
      <c r="H286" s="146"/>
      <c r="I286" s="146"/>
      <c r="J286" s="146"/>
      <c r="K286" s="146"/>
      <c r="L286" s="146"/>
      <c r="M286" s="146"/>
      <c r="N286" s="146"/>
      <c r="O286" s="146"/>
      <c r="P286" s="146"/>
      <c r="Q286" s="146"/>
      <c r="R286" s="146"/>
      <c r="S286" s="146"/>
      <c r="T286" s="146"/>
      <c r="U286" s="146"/>
      <c r="V286" s="146"/>
      <c r="W286" s="146"/>
      <c r="X286" s="146"/>
      <c r="Y286" s="146"/>
      <c r="Z286" s="146"/>
      <c r="AA286" s="146"/>
    </row>
    <row r="287" spans="1:27" ht="15.75" customHeight="1" x14ac:dyDescent="0.25">
      <c r="A287" s="146"/>
      <c r="B287" s="146"/>
      <c r="C287" s="146"/>
      <c r="D287" s="146"/>
      <c r="E287" s="146"/>
      <c r="F287" s="146"/>
      <c r="G287" s="146"/>
      <c r="H287" s="146"/>
      <c r="I287" s="146"/>
      <c r="J287" s="146"/>
      <c r="K287" s="146"/>
      <c r="L287" s="146"/>
      <c r="M287" s="146"/>
      <c r="N287" s="146"/>
      <c r="O287" s="146"/>
      <c r="P287" s="146"/>
      <c r="Q287" s="146"/>
      <c r="R287" s="146"/>
      <c r="S287" s="146"/>
      <c r="T287" s="146"/>
      <c r="U287" s="146"/>
      <c r="V287" s="146"/>
      <c r="W287" s="146"/>
      <c r="X287" s="146"/>
      <c r="Y287" s="146"/>
      <c r="Z287" s="146"/>
      <c r="AA287" s="146"/>
    </row>
    <row r="288" spans="1:27" ht="15.75" customHeight="1" x14ac:dyDescent="0.25">
      <c r="A288" s="146"/>
      <c r="B288" s="146"/>
      <c r="C288" s="146"/>
      <c r="D288" s="146"/>
      <c r="E288" s="146"/>
      <c r="F288" s="146"/>
      <c r="G288" s="146"/>
      <c r="H288" s="146"/>
      <c r="I288" s="146"/>
      <c r="J288" s="146"/>
      <c r="K288" s="146"/>
      <c r="L288" s="146"/>
      <c r="M288" s="146"/>
      <c r="N288" s="146"/>
      <c r="O288" s="146"/>
      <c r="P288" s="146"/>
      <c r="Q288" s="146"/>
      <c r="R288" s="146"/>
      <c r="S288" s="146"/>
      <c r="T288" s="146"/>
      <c r="U288" s="146"/>
      <c r="V288" s="146"/>
      <c r="W288" s="146"/>
      <c r="X288" s="146"/>
      <c r="Y288" s="146"/>
      <c r="Z288" s="146"/>
      <c r="AA288" s="146"/>
    </row>
    <row r="289" spans="1:27" ht="15.75" customHeight="1" x14ac:dyDescent="0.25">
      <c r="A289" s="146"/>
      <c r="B289" s="146"/>
      <c r="C289" s="146"/>
      <c r="D289" s="146"/>
      <c r="E289" s="146"/>
      <c r="F289" s="146"/>
      <c r="G289" s="146"/>
      <c r="H289" s="146"/>
      <c r="I289" s="146"/>
      <c r="J289" s="146"/>
      <c r="K289" s="146"/>
      <c r="L289" s="146"/>
      <c r="M289" s="146"/>
      <c r="N289" s="146"/>
      <c r="O289" s="146"/>
      <c r="P289" s="146"/>
      <c r="Q289" s="146"/>
      <c r="R289" s="146"/>
      <c r="S289" s="146"/>
      <c r="T289" s="146"/>
      <c r="U289" s="146"/>
      <c r="V289" s="146"/>
      <c r="W289" s="146"/>
      <c r="X289" s="146"/>
      <c r="Y289" s="146"/>
      <c r="Z289" s="146"/>
      <c r="AA289" s="146"/>
    </row>
    <row r="290" spans="1:27" ht="15.75" customHeight="1" x14ac:dyDescent="0.25">
      <c r="A290" s="146"/>
      <c r="B290" s="146"/>
      <c r="C290" s="146"/>
      <c r="D290" s="146"/>
      <c r="E290" s="146"/>
      <c r="F290" s="146"/>
      <c r="G290" s="146"/>
      <c r="H290" s="146"/>
      <c r="I290" s="146"/>
      <c r="J290" s="146"/>
      <c r="K290" s="146"/>
      <c r="L290" s="146"/>
      <c r="M290" s="146"/>
      <c r="N290" s="146"/>
      <c r="O290" s="146"/>
      <c r="P290" s="146"/>
      <c r="Q290" s="146"/>
      <c r="R290" s="146"/>
      <c r="S290" s="146"/>
      <c r="T290" s="146"/>
      <c r="U290" s="146"/>
      <c r="V290" s="146"/>
      <c r="W290" s="146"/>
      <c r="X290" s="146"/>
      <c r="Y290" s="146"/>
      <c r="Z290" s="146"/>
      <c r="AA290" s="146"/>
    </row>
    <row r="291" spans="1:27" ht="15.75" customHeight="1" x14ac:dyDescent="0.25">
      <c r="A291" s="146"/>
      <c r="B291" s="146"/>
      <c r="C291" s="146"/>
      <c r="D291" s="146"/>
      <c r="E291" s="146"/>
      <c r="F291" s="146"/>
      <c r="G291" s="146"/>
      <c r="H291" s="146"/>
      <c r="I291" s="146"/>
      <c r="J291" s="146"/>
      <c r="K291" s="146"/>
      <c r="L291" s="146"/>
      <c r="M291" s="146"/>
      <c r="N291" s="146"/>
      <c r="O291" s="146"/>
      <c r="P291" s="146"/>
      <c r="Q291" s="146"/>
      <c r="R291" s="146"/>
      <c r="S291" s="146"/>
      <c r="T291" s="146"/>
      <c r="U291" s="146"/>
      <c r="V291" s="146"/>
      <c r="W291" s="146"/>
      <c r="X291" s="146"/>
      <c r="Y291" s="146"/>
      <c r="Z291" s="146"/>
      <c r="AA291" s="146"/>
    </row>
    <row r="292" spans="1:27" ht="15.75" customHeight="1" x14ac:dyDescent="0.25">
      <c r="A292" s="146"/>
      <c r="B292" s="146"/>
      <c r="C292" s="146"/>
      <c r="D292" s="146"/>
      <c r="E292" s="146"/>
      <c r="F292" s="146"/>
      <c r="G292" s="146"/>
      <c r="H292" s="146"/>
      <c r="I292" s="146"/>
      <c r="J292" s="146"/>
      <c r="K292" s="146"/>
      <c r="L292" s="146"/>
      <c r="M292" s="146"/>
      <c r="N292" s="146"/>
      <c r="O292" s="146"/>
      <c r="P292" s="146"/>
      <c r="Q292" s="146"/>
      <c r="R292" s="146"/>
      <c r="S292" s="146"/>
      <c r="T292" s="146"/>
      <c r="U292" s="146"/>
      <c r="V292" s="146"/>
      <c r="W292" s="146"/>
      <c r="X292" s="146"/>
      <c r="Y292" s="146"/>
      <c r="Z292" s="146"/>
      <c r="AA292" s="146"/>
    </row>
    <row r="293" spans="1:27" ht="15.75" customHeight="1" x14ac:dyDescent="0.25">
      <c r="A293" s="146"/>
      <c r="B293" s="146"/>
      <c r="C293" s="146"/>
      <c r="D293" s="146"/>
      <c r="E293" s="146"/>
      <c r="F293" s="146"/>
      <c r="G293" s="146"/>
      <c r="H293" s="146"/>
      <c r="I293" s="146"/>
      <c r="J293" s="146"/>
      <c r="K293" s="146"/>
      <c r="L293" s="146"/>
      <c r="M293" s="146"/>
      <c r="N293" s="146"/>
      <c r="O293" s="146"/>
      <c r="P293" s="146"/>
      <c r="Q293" s="146"/>
      <c r="R293" s="146"/>
      <c r="S293" s="146"/>
      <c r="T293" s="146"/>
      <c r="U293" s="146"/>
      <c r="V293" s="146"/>
      <c r="W293" s="146"/>
      <c r="X293" s="146"/>
      <c r="Y293" s="146"/>
      <c r="Z293" s="146"/>
      <c r="AA293" s="146"/>
    </row>
    <row r="294" spans="1:27" ht="15.75" customHeight="1" x14ac:dyDescent="0.25">
      <c r="A294" s="146"/>
      <c r="B294" s="146"/>
      <c r="C294" s="146"/>
      <c r="D294" s="146"/>
      <c r="E294" s="146"/>
      <c r="F294" s="146"/>
      <c r="G294" s="146"/>
      <c r="H294" s="146"/>
      <c r="I294" s="146"/>
      <c r="J294" s="146"/>
      <c r="K294" s="146"/>
      <c r="L294" s="146"/>
      <c r="M294" s="146"/>
      <c r="N294" s="146"/>
      <c r="O294" s="146"/>
      <c r="P294" s="146"/>
      <c r="Q294" s="146"/>
      <c r="R294" s="146"/>
      <c r="S294" s="146"/>
      <c r="T294" s="146"/>
      <c r="U294" s="146"/>
      <c r="V294" s="146"/>
      <c r="W294" s="146"/>
      <c r="X294" s="146"/>
      <c r="Y294" s="146"/>
      <c r="Z294" s="146"/>
      <c r="AA294" s="146"/>
    </row>
    <row r="295" spans="1:27" ht="15.75" customHeight="1" x14ac:dyDescent="0.25">
      <c r="A295" s="146"/>
      <c r="B295" s="146"/>
      <c r="C295" s="146"/>
      <c r="D295" s="146"/>
      <c r="E295" s="146"/>
      <c r="F295" s="146"/>
      <c r="G295" s="146"/>
      <c r="H295" s="146"/>
      <c r="I295" s="146"/>
      <c r="J295" s="146"/>
      <c r="K295" s="146"/>
      <c r="L295" s="146"/>
      <c r="M295" s="146"/>
      <c r="N295" s="146"/>
      <c r="O295" s="146"/>
      <c r="P295" s="146"/>
      <c r="Q295" s="146"/>
      <c r="R295" s="146"/>
      <c r="S295" s="146"/>
      <c r="T295" s="146"/>
      <c r="U295" s="146"/>
      <c r="V295" s="146"/>
      <c r="W295" s="146"/>
      <c r="X295" s="146"/>
      <c r="Y295" s="146"/>
      <c r="Z295" s="146"/>
      <c r="AA295" s="146"/>
    </row>
    <row r="296" spans="1:27" ht="15.75" customHeight="1" x14ac:dyDescent="0.25">
      <c r="A296" s="146"/>
      <c r="B296" s="146"/>
      <c r="C296" s="146"/>
      <c r="D296" s="146"/>
      <c r="E296" s="146"/>
      <c r="F296" s="146"/>
      <c r="G296" s="146"/>
      <c r="H296" s="146"/>
      <c r="I296" s="146"/>
      <c r="J296" s="146"/>
      <c r="K296" s="146"/>
      <c r="L296" s="146"/>
      <c r="M296" s="146"/>
      <c r="N296" s="146"/>
      <c r="O296" s="146"/>
      <c r="P296" s="146"/>
      <c r="Q296" s="146"/>
      <c r="R296" s="146"/>
      <c r="S296" s="146"/>
      <c r="T296" s="146"/>
      <c r="U296" s="146"/>
      <c r="V296" s="146"/>
      <c r="W296" s="146"/>
      <c r="X296" s="146"/>
      <c r="Y296" s="146"/>
      <c r="Z296" s="146"/>
      <c r="AA296" s="146"/>
    </row>
    <row r="297" spans="1:27" ht="15.75" customHeight="1" x14ac:dyDescent="0.25">
      <c r="A297" s="146"/>
      <c r="B297" s="146"/>
      <c r="C297" s="146"/>
      <c r="D297" s="146"/>
      <c r="E297" s="146"/>
      <c r="F297" s="146"/>
      <c r="G297" s="146"/>
      <c r="H297" s="146"/>
      <c r="I297" s="146"/>
      <c r="J297" s="146"/>
      <c r="K297" s="146"/>
      <c r="L297" s="146"/>
      <c r="M297" s="146"/>
      <c r="N297" s="146"/>
      <c r="O297" s="146"/>
      <c r="P297" s="146"/>
      <c r="Q297" s="146"/>
      <c r="R297" s="146"/>
      <c r="S297" s="146"/>
      <c r="T297" s="146"/>
      <c r="U297" s="146"/>
      <c r="V297" s="146"/>
      <c r="W297" s="146"/>
      <c r="X297" s="146"/>
      <c r="Y297" s="146"/>
      <c r="Z297" s="146"/>
      <c r="AA297" s="146"/>
    </row>
    <row r="298" spans="1:27" ht="15.75" customHeight="1" x14ac:dyDescent="0.25">
      <c r="A298" s="146"/>
      <c r="B298" s="146"/>
      <c r="C298" s="146"/>
      <c r="D298" s="146"/>
      <c r="E298" s="146"/>
      <c r="F298" s="146"/>
      <c r="G298" s="146"/>
      <c r="H298" s="146"/>
      <c r="I298" s="146"/>
      <c r="J298" s="146"/>
      <c r="K298" s="146"/>
      <c r="L298" s="146"/>
      <c r="M298" s="146"/>
      <c r="N298" s="146"/>
      <c r="O298" s="146"/>
      <c r="P298" s="146"/>
      <c r="Q298" s="146"/>
      <c r="R298" s="146"/>
      <c r="S298" s="146"/>
      <c r="T298" s="146"/>
      <c r="U298" s="146"/>
      <c r="V298" s="146"/>
      <c r="W298" s="146"/>
      <c r="X298" s="146"/>
      <c r="Y298" s="146"/>
      <c r="Z298" s="146"/>
      <c r="AA298" s="146"/>
    </row>
    <row r="299" spans="1:27" ht="15.75" customHeight="1" x14ac:dyDescent="0.25">
      <c r="A299" s="146"/>
      <c r="B299" s="146"/>
      <c r="C299" s="146"/>
      <c r="D299" s="146"/>
      <c r="E299" s="146"/>
      <c r="F299" s="146"/>
      <c r="G299" s="146"/>
      <c r="H299" s="146"/>
      <c r="I299" s="146"/>
      <c r="J299" s="146"/>
      <c r="K299" s="146"/>
      <c r="L299" s="146"/>
      <c r="M299" s="146"/>
      <c r="N299" s="146"/>
      <c r="O299" s="146"/>
      <c r="P299" s="146"/>
      <c r="Q299" s="146"/>
      <c r="R299" s="146"/>
      <c r="S299" s="146"/>
      <c r="T299" s="146"/>
      <c r="U299" s="146"/>
      <c r="V299" s="146"/>
      <c r="W299" s="146"/>
      <c r="X299" s="146"/>
      <c r="Y299" s="146"/>
      <c r="Z299" s="146"/>
      <c r="AA299" s="146"/>
    </row>
    <row r="300" spans="1:27" ht="15.75" customHeight="1" x14ac:dyDescent="0.25">
      <c r="A300" s="146"/>
      <c r="B300" s="146"/>
      <c r="C300" s="146"/>
      <c r="D300" s="146"/>
      <c r="E300" s="146"/>
      <c r="F300" s="146"/>
      <c r="G300" s="146"/>
      <c r="H300" s="146"/>
      <c r="I300" s="146"/>
      <c r="J300" s="146"/>
      <c r="K300" s="146"/>
      <c r="L300" s="146"/>
      <c r="M300" s="146"/>
      <c r="N300" s="146"/>
      <c r="O300" s="146"/>
      <c r="P300" s="146"/>
      <c r="Q300" s="146"/>
      <c r="R300" s="146"/>
      <c r="S300" s="146"/>
      <c r="T300" s="146"/>
      <c r="U300" s="146"/>
      <c r="V300" s="146"/>
      <c r="W300" s="146"/>
      <c r="X300" s="146"/>
      <c r="Y300" s="146"/>
      <c r="Z300" s="146"/>
      <c r="AA300" s="146"/>
    </row>
    <row r="301" spans="1:27" ht="15.75" customHeight="1" x14ac:dyDescent="0.25">
      <c r="A301" s="146"/>
      <c r="B301" s="146"/>
      <c r="C301" s="146"/>
      <c r="D301" s="146"/>
      <c r="E301" s="146"/>
      <c r="F301" s="146"/>
      <c r="G301" s="146"/>
      <c r="H301" s="146"/>
      <c r="I301" s="146"/>
      <c r="J301" s="146"/>
      <c r="K301" s="146"/>
      <c r="L301" s="146"/>
      <c r="M301" s="146"/>
      <c r="N301" s="146"/>
      <c r="O301" s="146"/>
      <c r="P301" s="146"/>
      <c r="Q301" s="146"/>
      <c r="R301" s="146"/>
      <c r="S301" s="146"/>
      <c r="T301" s="146"/>
      <c r="U301" s="146"/>
      <c r="V301" s="146"/>
      <c r="W301" s="146"/>
      <c r="X301" s="146"/>
      <c r="Y301" s="146"/>
      <c r="Z301" s="146"/>
      <c r="AA301" s="146"/>
    </row>
    <row r="302" spans="1:27" ht="15.75" customHeight="1" x14ac:dyDescent="0.25">
      <c r="A302" s="146"/>
      <c r="B302" s="146"/>
      <c r="C302" s="146"/>
      <c r="D302" s="146"/>
      <c r="E302" s="146"/>
      <c r="F302" s="146"/>
      <c r="G302" s="146"/>
      <c r="H302" s="146"/>
      <c r="I302" s="146"/>
      <c r="J302" s="146"/>
      <c r="K302" s="146"/>
      <c r="L302" s="146"/>
      <c r="M302" s="146"/>
      <c r="N302" s="146"/>
      <c r="O302" s="146"/>
      <c r="P302" s="146"/>
      <c r="Q302" s="146"/>
      <c r="R302" s="146"/>
      <c r="S302" s="146"/>
      <c r="T302" s="146"/>
      <c r="U302" s="146"/>
      <c r="V302" s="146"/>
      <c r="W302" s="146"/>
      <c r="X302" s="146"/>
      <c r="Y302" s="146"/>
      <c r="Z302" s="146"/>
      <c r="AA302" s="146"/>
    </row>
    <row r="303" spans="1:27" ht="15.75" customHeight="1" x14ac:dyDescent="0.25">
      <c r="A303" s="146"/>
      <c r="B303" s="146"/>
      <c r="C303" s="146"/>
      <c r="D303" s="146"/>
      <c r="E303" s="146"/>
      <c r="F303" s="146"/>
      <c r="G303" s="146"/>
      <c r="H303" s="146"/>
      <c r="I303" s="146"/>
      <c r="J303" s="146"/>
      <c r="K303" s="146"/>
      <c r="L303" s="146"/>
      <c r="M303" s="146"/>
      <c r="N303" s="146"/>
      <c r="O303" s="146"/>
      <c r="P303" s="146"/>
      <c r="Q303" s="146"/>
      <c r="R303" s="146"/>
      <c r="S303" s="146"/>
      <c r="T303" s="146"/>
      <c r="U303" s="146"/>
      <c r="V303" s="146"/>
      <c r="W303" s="146"/>
      <c r="X303" s="146"/>
      <c r="Y303" s="146"/>
      <c r="Z303" s="146"/>
      <c r="AA303" s="146"/>
    </row>
    <row r="304" spans="1:27" ht="15.75" customHeight="1" x14ac:dyDescent="0.25">
      <c r="A304" s="146"/>
      <c r="B304" s="146"/>
      <c r="C304" s="146"/>
      <c r="D304" s="146"/>
      <c r="E304" s="146"/>
      <c r="F304" s="146"/>
      <c r="G304" s="146"/>
      <c r="H304" s="146"/>
      <c r="I304" s="146"/>
      <c r="J304" s="146"/>
      <c r="K304" s="146"/>
      <c r="L304" s="146"/>
      <c r="M304" s="146"/>
      <c r="N304" s="146"/>
      <c r="O304" s="146"/>
      <c r="P304" s="146"/>
      <c r="Q304" s="146"/>
      <c r="R304" s="146"/>
      <c r="S304" s="146"/>
      <c r="T304" s="146"/>
      <c r="U304" s="146"/>
      <c r="V304" s="146"/>
      <c r="W304" s="146"/>
      <c r="X304" s="146"/>
      <c r="Y304" s="146"/>
      <c r="Z304" s="146"/>
      <c r="AA304" s="146"/>
    </row>
    <row r="305" spans="1:27" ht="15.75" customHeight="1" x14ac:dyDescent="0.25">
      <c r="A305" s="146"/>
      <c r="B305" s="146"/>
      <c r="C305" s="146"/>
      <c r="D305" s="146"/>
      <c r="E305" s="146"/>
      <c r="F305" s="146"/>
      <c r="G305" s="146"/>
      <c r="H305" s="146"/>
      <c r="I305" s="146"/>
      <c r="J305" s="146"/>
      <c r="K305" s="146"/>
      <c r="L305" s="146"/>
      <c r="M305" s="146"/>
      <c r="N305" s="146"/>
      <c r="O305" s="146"/>
      <c r="P305" s="146"/>
      <c r="Q305" s="146"/>
      <c r="R305" s="146"/>
      <c r="S305" s="146"/>
      <c r="T305" s="146"/>
      <c r="U305" s="146"/>
      <c r="V305" s="146"/>
      <c r="W305" s="146"/>
      <c r="X305" s="146"/>
      <c r="Y305" s="146"/>
      <c r="Z305" s="146"/>
      <c r="AA305" s="146"/>
    </row>
    <row r="306" spans="1:27" ht="15.75" customHeight="1" x14ac:dyDescent="0.25">
      <c r="A306" s="146"/>
      <c r="B306" s="146"/>
      <c r="C306" s="146"/>
      <c r="D306" s="146"/>
      <c r="E306" s="146"/>
      <c r="F306" s="146"/>
      <c r="G306" s="146"/>
      <c r="H306" s="146"/>
      <c r="I306" s="146"/>
      <c r="J306" s="146"/>
      <c r="K306" s="146"/>
      <c r="L306" s="146"/>
      <c r="M306" s="146"/>
      <c r="N306" s="146"/>
      <c r="O306" s="146"/>
      <c r="P306" s="146"/>
      <c r="Q306" s="146"/>
      <c r="R306" s="146"/>
      <c r="S306" s="146"/>
      <c r="T306" s="146"/>
      <c r="U306" s="146"/>
      <c r="V306" s="146"/>
      <c r="W306" s="146"/>
      <c r="X306" s="146"/>
      <c r="Y306" s="146"/>
      <c r="Z306" s="146"/>
      <c r="AA306" s="146"/>
    </row>
    <row r="307" spans="1:27" ht="15.75" customHeight="1" x14ac:dyDescent="0.25">
      <c r="A307" s="146"/>
      <c r="B307" s="146"/>
      <c r="C307" s="146"/>
      <c r="D307" s="146"/>
      <c r="E307" s="146"/>
      <c r="F307" s="146"/>
      <c r="G307" s="146"/>
      <c r="H307" s="146"/>
      <c r="I307" s="146"/>
      <c r="J307" s="146"/>
      <c r="K307" s="146"/>
      <c r="L307" s="146"/>
      <c r="M307" s="146"/>
      <c r="N307" s="146"/>
      <c r="O307" s="146"/>
      <c r="P307" s="146"/>
      <c r="Q307" s="146"/>
      <c r="R307" s="146"/>
      <c r="S307" s="146"/>
      <c r="T307" s="146"/>
      <c r="U307" s="146"/>
      <c r="V307" s="146"/>
      <c r="W307" s="146"/>
      <c r="X307" s="146"/>
      <c r="Y307" s="146"/>
      <c r="Z307" s="146"/>
      <c r="AA307" s="146"/>
    </row>
    <row r="308" spans="1:27" ht="15.75" customHeight="1" x14ac:dyDescent="0.25">
      <c r="A308" s="146"/>
      <c r="B308" s="146"/>
      <c r="C308" s="146"/>
      <c r="D308" s="146"/>
      <c r="E308" s="146"/>
      <c r="F308" s="146"/>
      <c r="G308" s="146"/>
      <c r="H308" s="146"/>
      <c r="I308" s="146"/>
      <c r="J308" s="146"/>
      <c r="K308" s="146"/>
      <c r="L308" s="146"/>
      <c r="M308" s="146"/>
      <c r="N308" s="146"/>
      <c r="O308" s="146"/>
      <c r="P308" s="146"/>
      <c r="Q308" s="146"/>
      <c r="R308" s="146"/>
      <c r="S308" s="146"/>
      <c r="T308" s="146"/>
      <c r="U308" s="146"/>
      <c r="V308" s="146"/>
      <c r="W308" s="146"/>
      <c r="X308" s="146"/>
      <c r="Y308" s="146"/>
      <c r="Z308" s="146"/>
      <c r="AA308" s="146"/>
    </row>
    <row r="309" spans="1:27" ht="15.75" customHeight="1" x14ac:dyDescent="0.25">
      <c r="A309" s="146"/>
      <c r="B309" s="146"/>
      <c r="C309" s="146"/>
      <c r="D309" s="146"/>
      <c r="E309" s="146"/>
      <c r="F309" s="146"/>
      <c r="G309" s="146"/>
      <c r="H309" s="146"/>
      <c r="I309" s="146"/>
      <c r="J309" s="146"/>
      <c r="K309" s="146"/>
      <c r="L309" s="146"/>
      <c r="M309" s="146"/>
      <c r="N309" s="146"/>
      <c r="O309" s="146"/>
      <c r="P309" s="146"/>
      <c r="Q309" s="146"/>
      <c r="R309" s="146"/>
      <c r="S309" s="146"/>
      <c r="T309" s="146"/>
      <c r="U309" s="146"/>
      <c r="V309" s="146"/>
      <c r="W309" s="146"/>
      <c r="X309" s="146"/>
      <c r="Y309" s="146"/>
      <c r="Z309" s="146"/>
      <c r="AA309" s="146"/>
    </row>
    <row r="310" spans="1:27" ht="15.75" customHeight="1" x14ac:dyDescent="0.25">
      <c r="A310" s="146"/>
      <c r="B310" s="146"/>
      <c r="C310" s="146"/>
      <c r="D310" s="146"/>
      <c r="E310" s="146"/>
      <c r="F310" s="146"/>
      <c r="G310" s="146"/>
      <c r="H310" s="146"/>
      <c r="I310" s="146"/>
      <c r="J310" s="146"/>
      <c r="K310" s="146"/>
      <c r="L310" s="146"/>
      <c r="M310" s="146"/>
      <c r="N310" s="146"/>
      <c r="O310" s="146"/>
      <c r="P310" s="146"/>
      <c r="Q310" s="146"/>
      <c r="R310" s="146"/>
      <c r="S310" s="146"/>
      <c r="T310" s="146"/>
      <c r="U310" s="146"/>
      <c r="V310" s="146"/>
      <c r="W310" s="146"/>
      <c r="X310" s="146"/>
      <c r="Y310" s="146"/>
      <c r="Z310" s="146"/>
      <c r="AA310" s="146"/>
    </row>
    <row r="311" spans="1:27" ht="15.75" customHeight="1" x14ac:dyDescent="0.25">
      <c r="A311" s="146"/>
      <c r="B311" s="146"/>
      <c r="C311" s="146"/>
      <c r="D311" s="146"/>
      <c r="E311" s="146"/>
      <c r="F311" s="146"/>
      <c r="G311" s="146"/>
      <c r="H311" s="146"/>
      <c r="I311" s="146"/>
      <c r="J311" s="146"/>
      <c r="K311" s="146"/>
      <c r="L311" s="146"/>
      <c r="M311" s="146"/>
      <c r="N311" s="146"/>
      <c r="O311" s="146"/>
      <c r="P311" s="146"/>
      <c r="Q311" s="146"/>
      <c r="R311" s="146"/>
      <c r="S311" s="146"/>
      <c r="T311" s="146"/>
      <c r="U311" s="146"/>
      <c r="V311" s="146"/>
      <c r="W311" s="146"/>
      <c r="X311" s="146"/>
      <c r="Y311" s="146"/>
      <c r="Z311" s="146"/>
      <c r="AA311" s="146"/>
    </row>
    <row r="312" spans="1:27" ht="15.75" customHeight="1" x14ac:dyDescent="0.25">
      <c r="A312" s="146"/>
      <c r="B312" s="146"/>
      <c r="C312" s="146"/>
      <c r="D312" s="146"/>
      <c r="E312" s="146"/>
      <c r="F312" s="146"/>
      <c r="G312" s="146"/>
      <c r="H312" s="146"/>
      <c r="I312" s="146"/>
      <c r="J312" s="146"/>
      <c r="K312" s="146"/>
      <c r="L312" s="146"/>
      <c r="M312" s="146"/>
      <c r="N312" s="146"/>
      <c r="O312" s="146"/>
      <c r="P312" s="146"/>
      <c r="Q312" s="146"/>
      <c r="R312" s="146"/>
      <c r="S312" s="146"/>
      <c r="T312" s="146"/>
      <c r="U312" s="146"/>
      <c r="V312" s="146"/>
      <c r="W312" s="146"/>
      <c r="X312" s="146"/>
      <c r="Y312" s="146"/>
      <c r="Z312" s="146"/>
      <c r="AA312" s="146"/>
    </row>
    <row r="313" spans="1:27" ht="15.75" customHeight="1" x14ac:dyDescent="0.25">
      <c r="A313" s="146"/>
      <c r="B313" s="146"/>
      <c r="C313" s="146"/>
      <c r="D313" s="146"/>
      <c r="E313" s="146"/>
      <c r="F313" s="146"/>
      <c r="G313" s="146"/>
      <c r="H313" s="146"/>
      <c r="I313" s="146"/>
      <c r="J313" s="146"/>
      <c r="K313" s="146"/>
      <c r="L313" s="146"/>
      <c r="M313" s="146"/>
      <c r="N313" s="146"/>
      <c r="O313" s="146"/>
      <c r="P313" s="146"/>
      <c r="Q313" s="146"/>
      <c r="R313" s="146"/>
      <c r="S313" s="146"/>
      <c r="T313" s="146"/>
      <c r="U313" s="146"/>
      <c r="V313" s="146"/>
      <c r="W313" s="146"/>
      <c r="X313" s="146"/>
      <c r="Y313" s="146"/>
      <c r="Z313" s="146"/>
      <c r="AA313" s="146"/>
    </row>
    <row r="314" spans="1:27" ht="15.75" customHeight="1" x14ac:dyDescent="0.25">
      <c r="A314" s="146"/>
      <c r="B314" s="146"/>
      <c r="C314" s="146"/>
      <c r="D314" s="146"/>
      <c r="E314" s="146"/>
      <c r="F314" s="146"/>
      <c r="G314" s="146"/>
      <c r="H314" s="146"/>
      <c r="I314" s="146"/>
      <c r="J314" s="146"/>
      <c r="K314" s="146"/>
      <c r="L314" s="146"/>
      <c r="M314" s="146"/>
      <c r="N314" s="146"/>
      <c r="O314" s="146"/>
      <c r="P314" s="146"/>
      <c r="Q314" s="146"/>
      <c r="R314" s="146"/>
      <c r="S314" s="146"/>
      <c r="T314" s="146"/>
      <c r="U314" s="146"/>
      <c r="V314" s="146"/>
      <c r="W314" s="146"/>
      <c r="X314" s="146"/>
      <c r="Y314" s="146"/>
      <c r="Z314" s="146"/>
      <c r="AA314" s="146"/>
    </row>
    <row r="315" spans="1:27" ht="15.75" customHeight="1" x14ac:dyDescent="0.25">
      <c r="A315" s="146"/>
      <c r="B315" s="146"/>
      <c r="C315" s="146"/>
      <c r="D315" s="146"/>
      <c r="E315" s="146"/>
      <c r="F315" s="146"/>
      <c r="G315" s="146"/>
      <c r="H315" s="146"/>
      <c r="I315" s="146"/>
      <c r="J315" s="146"/>
      <c r="K315" s="146"/>
      <c r="L315" s="146"/>
      <c r="M315" s="146"/>
      <c r="N315" s="146"/>
      <c r="O315" s="146"/>
      <c r="P315" s="146"/>
      <c r="Q315" s="146"/>
      <c r="R315" s="146"/>
      <c r="S315" s="146"/>
      <c r="T315" s="146"/>
      <c r="U315" s="146"/>
      <c r="V315" s="146"/>
      <c r="W315" s="146"/>
      <c r="X315" s="146"/>
      <c r="Y315" s="146"/>
      <c r="Z315" s="146"/>
      <c r="AA315" s="146"/>
    </row>
    <row r="316" spans="1:27" ht="15.75" customHeight="1" x14ac:dyDescent="0.25">
      <c r="A316" s="146"/>
      <c r="B316" s="146"/>
      <c r="C316" s="146"/>
      <c r="D316" s="146"/>
      <c r="E316" s="146"/>
      <c r="F316" s="146"/>
      <c r="G316" s="146"/>
      <c r="H316" s="146"/>
      <c r="I316" s="146"/>
      <c r="J316" s="146"/>
      <c r="K316" s="146"/>
      <c r="L316" s="146"/>
      <c r="M316" s="146"/>
      <c r="N316" s="146"/>
      <c r="O316" s="146"/>
      <c r="P316" s="146"/>
      <c r="Q316" s="146"/>
      <c r="R316" s="146"/>
      <c r="S316" s="146"/>
      <c r="T316" s="146"/>
      <c r="U316" s="146"/>
      <c r="V316" s="146"/>
      <c r="W316" s="146"/>
      <c r="X316" s="146"/>
      <c r="Y316" s="146"/>
      <c r="Z316" s="146"/>
      <c r="AA316" s="146"/>
    </row>
    <row r="317" spans="1:27" ht="15.75" customHeight="1" x14ac:dyDescent="0.25">
      <c r="A317" s="146"/>
      <c r="B317" s="146"/>
      <c r="C317" s="146"/>
      <c r="D317" s="146"/>
      <c r="E317" s="146"/>
      <c r="F317" s="146"/>
      <c r="G317" s="146"/>
      <c r="H317" s="146"/>
      <c r="I317" s="146"/>
      <c r="J317" s="146"/>
      <c r="K317" s="146"/>
      <c r="L317" s="146"/>
      <c r="M317" s="146"/>
      <c r="N317" s="146"/>
      <c r="O317" s="146"/>
      <c r="P317" s="146"/>
      <c r="Q317" s="146"/>
      <c r="R317" s="146"/>
      <c r="S317" s="146"/>
      <c r="T317" s="146"/>
      <c r="U317" s="146"/>
      <c r="V317" s="146"/>
      <c r="W317" s="146"/>
      <c r="X317" s="146"/>
      <c r="Y317" s="146"/>
      <c r="Z317" s="146"/>
      <c r="AA317" s="146"/>
    </row>
    <row r="318" spans="1:27" ht="15.75" customHeight="1" x14ac:dyDescent="0.25">
      <c r="A318" s="146"/>
      <c r="B318" s="146"/>
      <c r="C318" s="146"/>
      <c r="D318" s="146"/>
      <c r="E318" s="146"/>
      <c r="F318" s="146"/>
      <c r="G318" s="146"/>
      <c r="H318" s="146"/>
      <c r="I318" s="146"/>
      <c r="J318" s="146"/>
      <c r="K318" s="146"/>
      <c r="L318" s="146"/>
      <c r="M318" s="146"/>
      <c r="N318" s="146"/>
      <c r="O318" s="146"/>
      <c r="P318" s="146"/>
      <c r="Q318" s="146"/>
      <c r="R318" s="146"/>
      <c r="S318" s="146"/>
      <c r="T318" s="146"/>
      <c r="U318" s="146"/>
      <c r="V318" s="146"/>
      <c r="W318" s="146"/>
      <c r="X318" s="146"/>
      <c r="Y318" s="146"/>
      <c r="Z318" s="146"/>
      <c r="AA318" s="146"/>
    </row>
    <row r="319" spans="1:27" ht="15.75" customHeight="1" x14ac:dyDescent="0.25">
      <c r="A319" s="146"/>
      <c r="B319" s="146"/>
      <c r="C319" s="146"/>
      <c r="D319" s="146"/>
      <c r="E319" s="146"/>
      <c r="F319" s="146"/>
      <c r="G319" s="146"/>
      <c r="H319" s="146"/>
      <c r="I319" s="146"/>
      <c r="J319" s="146"/>
      <c r="K319" s="146"/>
      <c r="L319" s="146"/>
      <c r="M319" s="146"/>
      <c r="N319" s="146"/>
      <c r="O319" s="146"/>
      <c r="P319" s="146"/>
      <c r="Q319" s="146"/>
      <c r="R319" s="146"/>
      <c r="S319" s="146"/>
      <c r="T319" s="146"/>
      <c r="U319" s="146"/>
      <c r="V319" s="146"/>
      <c r="W319" s="146"/>
      <c r="X319" s="146"/>
      <c r="Y319" s="146"/>
      <c r="Z319" s="146"/>
      <c r="AA319" s="146"/>
    </row>
    <row r="320" spans="1:27" ht="15.75" customHeight="1" x14ac:dyDescent="0.25">
      <c r="A320" s="146"/>
      <c r="B320" s="146"/>
      <c r="C320" s="146"/>
      <c r="D320" s="146"/>
      <c r="E320" s="146"/>
      <c r="F320" s="146"/>
      <c r="G320" s="146"/>
      <c r="H320" s="146"/>
      <c r="I320" s="146"/>
      <c r="J320" s="146"/>
      <c r="K320" s="146"/>
      <c r="L320" s="146"/>
      <c r="M320" s="146"/>
      <c r="N320" s="146"/>
      <c r="O320" s="146"/>
      <c r="P320" s="146"/>
      <c r="Q320" s="146"/>
      <c r="R320" s="146"/>
      <c r="S320" s="146"/>
      <c r="T320" s="146"/>
      <c r="U320" s="146"/>
      <c r="V320" s="146"/>
      <c r="W320" s="146"/>
      <c r="X320" s="146"/>
      <c r="Y320" s="146"/>
      <c r="Z320" s="146"/>
      <c r="AA320" s="146"/>
    </row>
    <row r="321" spans="1:27" ht="15.75" customHeight="1" x14ac:dyDescent="0.25">
      <c r="A321" s="146"/>
      <c r="B321" s="146"/>
      <c r="C321" s="146"/>
      <c r="D321" s="146"/>
      <c r="E321" s="146"/>
      <c r="F321" s="146"/>
      <c r="G321" s="146"/>
      <c r="H321" s="146"/>
      <c r="I321" s="146"/>
      <c r="J321" s="146"/>
      <c r="K321" s="146"/>
      <c r="L321" s="146"/>
      <c r="M321" s="146"/>
      <c r="N321" s="146"/>
      <c r="O321" s="146"/>
      <c r="P321" s="146"/>
      <c r="Q321" s="146"/>
      <c r="R321" s="146"/>
      <c r="S321" s="146"/>
      <c r="T321" s="146"/>
      <c r="U321" s="146"/>
      <c r="V321" s="146"/>
      <c r="W321" s="146"/>
      <c r="X321" s="146"/>
      <c r="Y321" s="146"/>
      <c r="Z321" s="146"/>
      <c r="AA321" s="146"/>
    </row>
    <row r="322" spans="1:27" ht="15.75" customHeight="1" x14ac:dyDescent="0.25">
      <c r="A322" s="146"/>
      <c r="B322" s="146"/>
      <c r="C322" s="146"/>
      <c r="D322" s="146"/>
      <c r="E322" s="146"/>
      <c r="F322" s="146"/>
      <c r="G322" s="146"/>
      <c r="H322" s="146"/>
      <c r="I322" s="146"/>
      <c r="J322" s="146"/>
      <c r="K322" s="146"/>
      <c r="L322" s="146"/>
      <c r="M322" s="146"/>
      <c r="N322" s="146"/>
      <c r="O322" s="146"/>
      <c r="P322" s="146"/>
      <c r="Q322" s="146"/>
      <c r="R322" s="146"/>
      <c r="S322" s="146"/>
      <c r="T322" s="146"/>
      <c r="U322" s="146"/>
      <c r="V322" s="146"/>
      <c r="W322" s="146"/>
      <c r="X322" s="146"/>
      <c r="Y322" s="146"/>
      <c r="Z322" s="146"/>
      <c r="AA322" s="146"/>
    </row>
    <row r="323" spans="1:27" ht="15.75" customHeight="1" x14ac:dyDescent="0.25">
      <c r="A323" s="146"/>
      <c r="B323" s="146"/>
      <c r="C323" s="146"/>
      <c r="D323" s="146"/>
      <c r="E323" s="146"/>
      <c r="F323" s="146"/>
      <c r="G323" s="146"/>
      <c r="H323" s="146"/>
      <c r="I323" s="146"/>
      <c r="J323" s="146"/>
      <c r="K323" s="146"/>
      <c r="L323" s="146"/>
      <c r="M323" s="146"/>
      <c r="N323" s="146"/>
      <c r="O323" s="146"/>
      <c r="P323" s="146"/>
      <c r="Q323" s="146"/>
      <c r="R323" s="146"/>
      <c r="S323" s="146"/>
      <c r="T323" s="146"/>
      <c r="U323" s="146"/>
      <c r="V323" s="146"/>
      <c r="W323" s="146"/>
      <c r="X323" s="146"/>
      <c r="Y323" s="146"/>
      <c r="Z323" s="146"/>
      <c r="AA323" s="146"/>
    </row>
    <row r="324" spans="1:27" ht="15.75" customHeight="1" x14ac:dyDescent="0.25">
      <c r="A324" s="146"/>
      <c r="B324" s="146"/>
      <c r="C324" s="146"/>
      <c r="D324" s="146"/>
      <c r="E324" s="146"/>
      <c r="F324" s="146"/>
      <c r="G324" s="146"/>
      <c r="H324" s="146"/>
      <c r="I324" s="146"/>
      <c r="J324" s="146"/>
      <c r="K324" s="146"/>
      <c r="L324" s="146"/>
      <c r="M324" s="146"/>
      <c r="N324" s="146"/>
      <c r="O324" s="146"/>
      <c r="P324" s="146"/>
      <c r="Q324" s="146"/>
      <c r="R324" s="146"/>
      <c r="S324" s="146"/>
      <c r="T324" s="146"/>
      <c r="U324" s="146"/>
      <c r="V324" s="146"/>
      <c r="W324" s="146"/>
      <c r="X324" s="146"/>
      <c r="Y324" s="146"/>
      <c r="Z324" s="146"/>
      <c r="AA324" s="146"/>
    </row>
    <row r="325" spans="1:27" ht="15.75" customHeight="1" x14ac:dyDescent="0.25">
      <c r="A325" s="146"/>
      <c r="B325" s="146"/>
      <c r="C325" s="146"/>
      <c r="D325" s="146"/>
      <c r="E325" s="146"/>
      <c r="F325" s="146"/>
      <c r="G325" s="146"/>
      <c r="H325" s="146"/>
      <c r="I325" s="146"/>
      <c r="J325" s="146"/>
      <c r="K325" s="146"/>
      <c r="L325" s="146"/>
      <c r="M325" s="146"/>
      <c r="N325" s="146"/>
      <c r="O325" s="146"/>
      <c r="P325" s="146"/>
      <c r="Q325" s="146"/>
      <c r="R325" s="146"/>
      <c r="S325" s="146"/>
      <c r="T325" s="146"/>
      <c r="U325" s="146"/>
      <c r="V325" s="146"/>
      <c r="W325" s="146"/>
      <c r="X325" s="146"/>
      <c r="Y325" s="146"/>
      <c r="Z325" s="146"/>
      <c r="AA325" s="146"/>
    </row>
    <row r="326" spans="1:27" ht="15.75" customHeight="1" x14ac:dyDescent="0.25">
      <c r="A326" s="146"/>
      <c r="B326" s="146"/>
      <c r="C326" s="146"/>
      <c r="D326" s="146"/>
      <c r="E326" s="146"/>
      <c r="F326" s="146"/>
      <c r="G326" s="146"/>
      <c r="H326" s="146"/>
      <c r="I326" s="146"/>
      <c r="J326" s="146"/>
      <c r="K326" s="146"/>
      <c r="L326" s="146"/>
      <c r="M326" s="146"/>
      <c r="N326" s="146"/>
      <c r="O326" s="146"/>
      <c r="P326" s="146"/>
      <c r="Q326" s="146"/>
      <c r="R326" s="146"/>
      <c r="S326" s="146"/>
      <c r="T326" s="146"/>
      <c r="U326" s="146"/>
      <c r="V326" s="146"/>
      <c r="W326" s="146"/>
      <c r="X326" s="146"/>
      <c r="Y326" s="146"/>
      <c r="Z326" s="146"/>
      <c r="AA326" s="146"/>
    </row>
    <row r="327" spans="1:27" ht="15.75" customHeight="1" x14ac:dyDescent="0.25">
      <c r="A327" s="146"/>
      <c r="B327" s="146"/>
      <c r="C327" s="146"/>
      <c r="D327" s="146"/>
      <c r="E327" s="146"/>
      <c r="F327" s="146"/>
      <c r="G327" s="146"/>
      <c r="H327" s="146"/>
      <c r="I327" s="146"/>
      <c r="J327" s="146"/>
      <c r="K327" s="146"/>
      <c r="L327" s="146"/>
      <c r="M327" s="146"/>
      <c r="N327" s="146"/>
      <c r="O327" s="146"/>
      <c r="P327" s="146"/>
      <c r="Q327" s="146"/>
      <c r="R327" s="146"/>
      <c r="S327" s="146"/>
      <c r="T327" s="146"/>
      <c r="U327" s="146"/>
      <c r="V327" s="146"/>
      <c r="W327" s="146"/>
      <c r="X327" s="146"/>
      <c r="Y327" s="146"/>
      <c r="Z327" s="146"/>
      <c r="AA327" s="146"/>
    </row>
    <row r="328" spans="1:27" ht="15.75" customHeight="1" x14ac:dyDescent="0.25">
      <c r="A328" s="146"/>
      <c r="B328" s="146"/>
      <c r="C328" s="146"/>
      <c r="D328" s="146"/>
      <c r="E328" s="146"/>
      <c r="F328" s="146"/>
      <c r="G328" s="146"/>
      <c r="H328" s="146"/>
      <c r="I328" s="146"/>
      <c r="J328" s="146"/>
      <c r="K328" s="146"/>
      <c r="L328" s="146"/>
      <c r="M328" s="146"/>
      <c r="N328" s="146"/>
      <c r="O328" s="146"/>
      <c r="P328" s="146"/>
      <c r="Q328" s="146"/>
      <c r="R328" s="146"/>
      <c r="S328" s="146"/>
      <c r="T328" s="146"/>
      <c r="U328" s="146"/>
      <c r="V328" s="146"/>
      <c r="W328" s="146"/>
      <c r="X328" s="146"/>
      <c r="Y328" s="146"/>
      <c r="Z328" s="146"/>
      <c r="AA328" s="146"/>
    </row>
    <row r="329" spans="1:27" ht="15.75" customHeight="1" x14ac:dyDescent="0.25">
      <c r="A329" s="146"/>
      <c r="B329" s="146"/>
      <c r="C329" s="146"/>
      <c r="D329" s="146"/>
      <c r="E329" s="146"/>
      <c r="F329" s="146"/>
      <c r="G329" s="146"/>
      <c r="H329" s="146"/>
      <c r="I329" s="146"/>
      <c r="J329" s="146"/>
      <c r="K329" s="146"/>
      <c r="L329" s="146"/>
      <c r="M329" s="146"/>
      <c r="N329" s="146"/>
      <c r="O329" s="146"/>
      <c r="P329" s="146"/>
      <c r="Q329" s="146"/>
      <c r="R329" s="146"/>
      <c r="S329" s="146"/>
      <c r="T329" s="146"/>
      <c r="U329" s="146"/>
      <c r="V329" s="146"/>
      <c r="W329" s="146"/>
      <c r="X329" s="146"/>
      <c r="Y329" s="146"/>
      <c r="Z329" s="146"/>
      <c r="AA329" s="146"/>
    </row>
    <row r="330" spans="1:27" ht="15.75" customHeight="1" x14ac:dyDescent="0.25">
      <c r="A330" s="146"/>
      <c r="B330" s="146"/>
      <c r="C330" s="146"/>
      <c r="D330" s="146"/>
      <c r="E330" s="146"/>
      <c r="F330" s="146"/>
      <c r="G330" s="146"/>
      <c r="H330" s="146"/>
      <c r="I330" s="146"/>
      <c r="J330" s="146"/>
      <c r="K330" s="146"/>
      <c r="L330" s="146"/>
      <c r="M330" s="146"/>
      <c r="N330" s="146"/>
      <c r="O330" s="146"/>
      <c r="P330" s="146"/>
      <c r="Q330" s="146"/>
      <c r="R330" s="146"/>
      <c r="S330" s="146"/>
      <c r="T330" s="146"/>
      <c r="U330" s="146"/>
      <c r="V330" s="146"/>
      <c r="W330" s="146"/>
      <c r="X330" s="146"/>
      <c r="Y330" s="146"/>
      <c r="Z330" s="146"/>
      <c r="AA330" s="146"/>
    </row>
    <row r="331" spans="1:27" ht="15.75" customHeight="1" x14ac:dyDescent="0.25">
      <c r="A331" s="146"/>
      <c r="B331" s="146"/>
      <c r="C331" s="146"/>
      <c r="D331" s="146"/>
      <c r="E331" s="146"/>
      <c r="F331" s="146"/>
      <c r="G331" s="146"/>
      <c r="H331" s="146"/>
      <c r="I331" s="146"/>
      <c r="J331" s="146"/>
      <c r="K331" s="146"/>
      <c r="L331" s="146"/>
      <c r="M331" s="146"/>
      <c r="N331" s="146"/>
      <c r="O331" s="146"/>
      <c r="P331" s="146"/>
      <c r="Q331" s="146"/>
      <c r="R331" s="146"/>
      <c r="S331" s="146"/>
      <c r="T331" s="146"/>
      <c r="U331" s="146"/>
      <c r="V331" s="146"/>
      <c r="W331" s="146"/>
      <c r="X331" s="146"/>
      <c r="Y331" s="146"/>
      <c r="Z331" s="146"/>
      <c r="AA331" s="146"/>
    </row>
    <row r="332" spans="1:27" ht="15.75" customHeight="1" x14ac:dyDescent="0.25">
      <c r="A332" s="146"/>
      <c r="B332" s="146"/>
      <c r="C332" s="146"/>
      <c r="D332" s="146"/>
      <c r="E332" s="146"/>
      <c r="F332" s="146"/>
      <c r="G332" s="146"/>
      <c r="H332" s="146"/>
      <c r="I332" s="146"/>
      <c r="J332" s="146"/>
      <c r="K332" s="146"/>
      <c r="L332" s="146"/>
      <c r="M332" s="146"/>
      <c r="N332" s="146"/>
      <c r="O332" s="146"/>
      <c r="P332" s="146"/>
      <c r="Q332" s="146"/>
      <c r="R332" s="146"/>
      <c r="S332" s="146"/>
      <c r="T332" s="146"/>
      <c r="U332" s="146"/>
      <c r="V332" s="146"/>
      <c r="W332" s="146"/>
      <c r="X332" s="146"/>
      <c r="Y332" s="146"/>
      <c r="Z332" s="146"/>
      <c r="AA332" s="146"/>
    </row>
    <row r="333" spans="1:27" ht="15.75" customHeight="1" x14ac:dyDescent="0.25">
      <c r="A333" s="146"/>
      <c r="B333" s="146"/>
      <c r="C333" s="146"/>
      <c r="D333" s="146"/>
      <c r="E333" s="146"/>
      <c r="F333" s="146"/>
      <c r="G333" s="146"/>
      <c r="H333" s="146"/>
      <c r="I333" s="146"/>
      <c r="J333" s="146"/>
      <c r="K333" s="146"/>
      <c r="L333" s="146"/>
      <c r="M333" s="146"/>
      <c r="N333" s="146"/>
      <c r="O333" s="146"/>
      <c r="P333" s="146"/>
      <c r="Q333" s="146"/>
      <c r="R333" s="146"/>
      <c r="S333" s="146"/>
      <c r="T333" s="146"/>
      <c r="U333" s="146"/>
      <c r="V333" s="146"/>
      <c r="W333" s="146"/>
      <c r="X333" s="146"/>
      <c r="Y333" s="146"/>
      <c r="Z333" s="146"/>
      <c r="AA333" s="146"/>
    </row>
    <row r="334" spans="1:27" ht="15.75" customHeight="1" x14ac:dyDescent="0.25">
      <c r="A334" s="146"/>
      <c r="B334" s="146"/>
      <c r="C334" s="146"/>
      <c r="D334" s="146"/>
      <c r="E334" s="146"/>
      <c r="F334" s="146"/>
      <c r="G334" s="146"/>
      <c r="H334" s="146"/>
      <c r="I334" s="146"/>
      <c r="J334" s="146"/>
      <c r="K334" s="146"/>
      <c r="L334" s="146"/>
      <c r="M334" s="146"/>
      <c r="N334" s="146"/>
      <c r="O334" s="146"/>
      <c r="P334" s="146"/>
      <c r="Q334" s="146"/>
      <c r="R334" s="146"/>
      <c r="S334" s="146"/>
      <c r="T334" s="146"/>
      <c r="U334" s="146"/>
      <c r="V334" s="146"/>
      <c r="W334" s="146"/>
      <c r="X334" s="146"/>
      <c r="Y334" s="146"/>
      <c r="Z334" s="146"/>
      <c r="AA334" s="146"/>
    </row>
    <row r="335" spans="1:27" ht="15.75" customHeight="1" x14ac:dyDescent="0.25">
      <c r="A335" s="146"/>
      <c r="B335" s="146"/>
      <c r="C335" s="146"/>
      <c r="D335" s="146"/>
      <c r="E335" s="146"/>
      <c r="F335" s="146"/>
      <c r="G335" s="146"/>
      <c r="H335" s="146"/>
      <c r="I335" s="146"/>
      <c r="J335" s="146"/>
      <c r="K335" s="146"/>
      <c r="L335" s="146"/>
      <c r="M335" s="146"/>
      <c r="N335" s="146"/>
      <c r="O335" s="146"/>
      <c r="P335" s="146"/>
      <c r="Q335" s="146"/>
      <c r="R335" s="146"/>
      <c r="S335" s="146"/>
      <c r="T335" s="146"/>
      <c r="U335" s="146"/>
      <c r="V335" s="146"/>
      <c r="W335" s="146"/>
      <c r="X335" s="146"/>
      <c r="Y335" s="146"/>
      <c r="Z335" s="146"/>
      <c r="AA335" s="146"/>
    </row>
    <row r="336" spans="1:27" ht="15.75" customHeight="1" x14ac:dyDescent="0.25">
      <c r="A336" s="146"/>
      <c r="B336" s="146"/>
      <c r="C336" s="146"/>
      <c r="D336" s="146"/>
      <c r="E336" s="146"/>
      <c r="F336" s="146"/>
      <c r="G336" s="146"/>
      <c r="H336" s="146"/>
      <c r="I336" s="146"/>
      <c r="J336" s="146"/>
      <c r="K336" s="146"/>
      <c r="L336" s="146"/>
      <c r="M336" s="146"/>
      <c r="N336" s="146"/>
      <c r="O336" s="146"/>
      <c r="P336" s="146"/>
      <c r="Q336" s="146"/>
      <c r="R336" s="146"/>
      <c r="S336" s="146"/>
      <c r="T336" s="146"/>
      <c r="U336" s="146"/>
      <c r="V336" s="146"/>
      <c r="W336" s="146"/>
      <c r="X336" s="146"/>
      <c r="Y336" s="146"/>
      <c r="Z336" s="146"/>
      <c r="AA336" s="146"/>
    </row>
    <row r="337" spans="1:27" ht="15.75" customHeight="1" x14ac:dyDescent="0.25">
      <c r="A337" s="146"/>
      <c r="B337" s="146"/>
      <c r="C337" s="146"/>
      <c r="D337" s="146"/>
      <c r="E337" s="146"/>
      <c r="F337" s="146"/>
      <c r="G337" s="146"/>
      <c r="H337" s="146"/>
      <c r="I337" s="146"/>
      <c r="J337" s="146"/>
      <c r="K337" s="146"/>
      <c r="L337" s="146"/>
      <c r="M337" s="146"/>
      <c r="N337" s="146"/>
      <c r="O337" s="146"/>
      <c r="P337" s="146"/>
      <c r="Q337" s="146"/>
      <c r="R337" s="146"/>
      <c r="S337" s="146"/>
      <c r="T337" s="146"/>
      <c r="U337" s="146"/>
      <c r="V337" s="146"/>
      <c r="W337" s="146"/>
      <c r="X337" s="146"/>
      <c r="Y337" s="146"/>
      <c r="Z337" s="146"/>
      <c r="AA337" s="146"/>
    </row>
    <row r="338" spans="1:27" ht="15.75" customHeight="1" x14ac:dyDescent="0.25">
      <c r="A338" s="146"/>
      <c r="B338" s="146"/>
      <c r="C338" s="146"/>
      <c r="D338" s="146"/>
      <c r="E338" s="146"/>
      <c r="F338" s="146"/>
      <c r="G338" s="146"/>
      <c r="H338" s="146"/>
      <c r="I338" s="146"/>
      <c r="J338" s="146"/>
      <c r="K338" s="146"/>
      <c r="L338" s="146"/>
      <c r="M338" s="146"/>
      <c r="N338" s="146"/>
      <c r="O338" s="146"/>
      <c r="P338" s="146"/>
      <c r="Q338" s="146"/>
      <c r="R338" s="146"/>
      <c r="S338" s="146"/>
      <c r="T338" s="146"/>
      <c r="U338" s="146"/>
      <c r="V338" s="146"/>
      <c r="W338" s="146"/>
      <c r="X338" s="146"/>
      <c r="Y338" s="146"/>
      <c r="Z338" s="146"/>
      <c r="AA338" s="146"/>
    </row>
    <row r="339" spans="1:27" ht="15.75" customHeight="1" x14ac:dyDescent="0.25">
      <c r="A339" s="146"/>
      <c r="B339" s="146"/>
      <c r="C339" s="146"/>
      <c r="D339" s="146"/>
      <c r="E339" s="146"/>
      <c r="F339" s="146"/>
      <c r="G339" s="146"/>
      <c r="H339" s="146"/>
      <c r="I339" s="146"/>
      <c r="J339" s="146"/>
      <c r="K339" s="146"/>
      <c r="L339" s="146"/>
      <c r="M339" s="146"/>
      <c r="N339" s="146"/>
      <c r="O339" s="146"/>
      <c r="P339" s="146"/>
      <c r="Q339" s="146"/>
      <c r="R339" s="146"/>
      <c r="S339" s="146"/>
      <c r="T339" s="146"/>
      <c r="U339" s="146"/>
      <c r="V339" s="146"/>
      <c r="W339" s="146"/>
      <c r="X339" s="146"/>
      <c r="Y339" s="146"/>
      <c r="Z339" s="146"/>
      <c r="AA339" s="146"/>
    </row>
    <row r="340" spans="1:27" ht="15.75" customHeight="1" x14ac:dyDescent="0.25">
      <c r="A340" s="146"/>
      <c r="B340" s="146"/>
      <c r="C340" s="146"/>
      <c r="D340" s="146"/>
      <c r="E340" s="146"/>
      <c r="F340" s="146"/>
      <c r="G340" s="146"/>
      <c r="H340" s="146"/>
      <c r="I340" s="146"/>
      <c r="J340" s="146"/>
      <c r="K340" s="146"/>
      <c r="L340" s="146"/>
      <c r="M340" s="146"/>
      <c r="N340" s="146"/>
      <c r="O340" s="146"/>
      <c r="P340" s="146"/>
      <c r="Q340" s="146"/>
      <c r="R340" s="146"/>
      <c r="S340" s="146"/>
      <c r="T340" s="146"/>
      <c r="U340" s="146"/>
      <c r="V340" s="146"/>
      <c r="W340" s="146"/>
      <c r="X340" s="146"/>
      <c r="Y340" s="146"/>
      <c r="Z340" s="146"/>
      <c r="AA340" s="146"/>
    </row>
    <row r="341" spans="1:27" ht="15.75" customHeight="1" x14ac:dyDescent="0.25">
      <c r="A341" s="146"/>
      <c r="B341" s="146"/>
      <c r="C341" s="146"/>
      <c r="D341" s="146"/>
      <c r="E341" s="146"/>
      <c r="F341" s="146"/>
      <c r="G341" s="146"/>
      <c r="H341" s="146"/>
      <c r="I341" s="146"/>
      <c r="J341" s="146"/>
      <c r="K341" s="146"/>
      <c r="L341" s="146"/>
      <c r="M341" s="146"/>
      <c r="N341" s="146"/>
      <c r="O341" s="146"/>
      <c r="P341" s="146"/>
      <c r="Q341" s="146"/>
      <c r="R341" s="146"/>
      <c r="S341" s="146"/>
      <c r="T341" s="146"/>
      <c r="U341" s="146"/>
      <c r="V341" s="146"/>
      <c r="W341" s="146"/>
      <c r="X341" s="146"/>
      <c r="Y341" s="146"/>
      <c r="Z341" s="146"/>
      <c r="AA341" s="146"/>
    </row>
    <row r="342" spans="1:27" ht="15.75" customHeight="1" x14ac:dyDescent="0.25">
      <c r="A342" s="146"/>
      <c r="B342" s="146"/>
      <c r="C342" s="146"/>
      <c r="D342" s="146"/>
      <c r="E342" s="146"/>
      <c r="F342" s="146"/>
      <c r="G342" s="146"/>
      <c r="H342" s="146"/>
      <c r="I342" s="146"/>
      <c r="J342" s="146"/>
      <c r="K342" s="146"/>
      <c r="L342" s="146"/>
      <c r="M342" s="146"/>
      <c r="N342" s="146"/>
      <c r="O342" s="146"/>
      <c r="P342" s="146"/>
      <c r="Q342" s="146"/>
      <c r="R342" s="146"/>
      <c r="S342" s="146"/>
      <c r="T342" s="146"/>
      <c r="U342" s="146"/>
      <c r="V342" s="146"/>
      <c r="W342" s="146"/>
      <c r="X342" s="146"/>
      <c r="Y342" s="146"/>
      <c r="Z342" s="146"/>
      <c r="AA342" s="146"/>
    </row>
    <row r="343" spans="1:27" ht="15.75" customHeight="1" x14ac:dyDescent="0.25">
      <c r="A343" s="146"/>
      <c r="B343" s="146"/>
      <c r="C343" s="146"/>
      <c r="D343" s="146"/>
      <c r="E343" s="146"/>
      <c r="F343" s="146"/>
      <c r="G343" s="146"/>
      <c r="H343" s="146"/>
      <c r="I343" s="146"/>
      <c r="J343" s="146"/>
      <c r="K343" s="146"/>
      <c r="L343" s="146"/>
      <c r="M343" s="146"/>
      <c r="N343" s="146"/>
      <c r="O343" s="146"/>
      <c r="P343" s="146"/>
      <c r="Q343" s="146"/>
      <c r="R343" s="146"/>
      <c r="S343" s="146"/>
      <c r="T343" s="146"/>
      <c r="U343" s="146"/>
      <c r="V343" s="146"/>
      <c r="W343" s="146"/>
      <c r="X343" s="146"/>
      <c r="Y343" s="146"/>
      <c r="Z343" s="146"/>
      <c r="AA343" s="146"/>
    </row>
    <row r="344" spans="1:27" ht="15.75" customHeight="1" x14ac:dyDescent="0.25">
      <c r="A344" s="146"/>
      <c r="B344" s="146"/>
      <c r="C344" s="146"/>
      <c r="D344" s="146"/>
      <c r="E344" s="146"/>
      <c r="F344" s="146"/>
      <c r="G344" s="146"/>
      <c r="H344" s="146"/>
      <c r="I344" s="146"/>
      <c r="J344" s="146"/>
      <c r="K344" s="146"/>
      <c r="L344" s="146"/>
      <c r="M344" s="146"/>
      <c r="N344" s="146"/>
      <c r="O344" s="146"/>
      <c r="P344" s="146"/>
      <c r="Q344" s="146"/>
      <c r="R344" s="146"/>
      <c r="S344" s="146"/>
      <c r="T344" s="146"/>
      <c r="U344" s="146"/>
      <c r="V344" s="146"/>
      <c r="W344" s="146"/>
      <c r="X344" s="146"/>
      <c r="Y344" s="146"/>
      <c r="Z344" s="146"/>
      <c r="AA344" s="146"/>
    </row>
    <row r="345" spans="1:27" ht="15.75" customHeight="1" x14ac:dyDescent="0.25">
      <c r="A345" s="146"/>
      <c r="B345" s="146"/>
      <c r="C345" s="146"/>
      <c r="D345" s="146"/>
      <c r="E345" s="146"/>
      <c r="F345" s="146"/>
      <c r="G345" s="146"/>
      <c r="H345" s="146"/>
      <c r="I345" s="146"/>
      <c r="J345" s="146"/>
      <c r="K345" s="146"/>
      <c r="L345" s="146"/>
      <c r="M345" s="146"/>
      <c r="N345" s="146"/>
      <c r="O345" s="146"/>
      <c r="P345" s="146"/>
      <c r="Q345" s="146"/>
      <c r="R345" s="146"/>
      <c r="S345" s="146"/>
      <c r="T345" s="146"/>
      <c r="U345" s="146"/>
      <c r="V345" s="146"/>
      <c r="W345" s="146"/>
      <c r="X345" s="146"/>
      <c r="Y345" s="146"/>
      <c r="Z345" s="146"/>
      <c r="AA345" s="146"/>
    </row>
    <row r="346" spans="1:27" ht="15.75" customHeight="1" x14ac:dyDescent="0.25">
      <c r="A346" s="146"/>
      <c r="B346" s="146"/>
      <c r="C346" s="146"/>
      <c r="D346" s="146"/>
      <c r="E346" s="146"/>
      <c r="F346" s="146"/>
      <c r="G346" s="146"/>
      <c r="H346" s="146"/>
      <c r="I346" s="146"/>
      <c r="J346" s="146"/>
      <c r="K346" s="146"/>
      <c r="L346" s="146"/>
      <c r="M346" s="146"/>
      <c r="N346" s="146"/>
      <c r="O346" s="146"/>
      <c r="P346" s="146"/>
      <c r="Q346" s="146"/>
      <c r="R346" s="146"/>
      <c r="S346" s="146"/>
      <c r="T346" s="146"/>
      <c r="U346" s="146"/>
      <c r="V346" s="146"/>
      <c r="W346" s="146"/>
      <c r="X346" s="146"/>
      <c r="Y346" s="146"/>
      <c r="Z346" s="146"/>
      <c r="AA346" s="146"/>
    </row>
    <row r="347" spans="1:27" ht="15.75" customHeight="1" x14ac:dyDescent="0.25">
      <c r="A347" s="146"/>
      <c r="B347" s="146"/>
      <c r="C347" s="146"/>
      <c r="D347" s="146"/>
      <c r="E347" s="146"/>
      <c r="F347" s="146"/>
      <c r="G347" s="146"/>
      <c r="H347" s="146"/>
      <c r="I347" s="146"/>
      <c r="J347" s="146"/>
      <c r="K347" s="146"/>
      <c r="L347" s="146"/>
      <c r="M347" s="146"/>
      <c r="N347" s="146"/>
      <c r="O347" s="146"/>
      <c r="P347" s="146"/>
      <c r="Q347" s="146"/>
      <c r="R347" s="146"/>
      <c r="S347" s="146"/>
      <c r="T347" s="146"/>
      <c r="U347" s="146"/>
      <c r="V347" s="146"/>
      <c r="W347" s="146"/>
      <c r="X347" s="146"/>
      <c r="Y347" s="146"/>
      <c r="Z347" s="146"/>
      <c r="AA347" s="146"/>
    </row>
    <row r="348" spans="1:27" ht="15.75" customHeight="1" x14ac:dyDescent="0.25">
      <c r="A348" s="146"/>
      <c r="B348" s="146"/>
      <c r="C348" s="146"/>
      <c r="D348" s="146"/>
      <c r="E348" s="146"/>
      <c r="F348" s="146"/>
      <c r="G348" s="146"/>
      <c r="H348" s="146"/>
      <c r="I348" s="146"/>
      <c r="J348" s="146"/>
      <c r="K348" s="146"/>
      <c r="L348" s="146"/>
      <c r="M348" s="146"/>
      <c r="N348" s="146"/>
      <c r="O348" s="146"/>
      <c r="P348" s="146"/>
      <c r="Q348" s="146"/>
      <c r="R348" s="146"/>
      <c r="S348" s="146"/>
      <c r="T348" s="146"/>
      <c r="U348" s="146"/>
      <c r="V348" s="146"/>
      <c r="W348" s="146"/>
      <c r="X348" s="146"/>
      <c r="Y348" s="146"/>
      <c r="Z348" s="146"/>
      <c r="AA348" s="146"/>
    </row>
    <row r="349" spans="1:27" ht="15.75" customHeight="1" x14ac:dyDescent="0.25">
      <c r="A349" s="146"/>
      <c r="B349" s="146"/>
      <c r="C349" s="146"/>
      <c r="D349" s="146"/>
      <c r="E349" s="146"/>
      <c r="F349" s="146"/>
      <c r="G349" s="146"/>
      <c r="H349" s="146"/>
      <c r="I349" s="146"/>
      <c r="J349" s="146"/>
      <c r="K349" s="146"/>
      <c r="L349" s="146"/>
      <c r="M349" s="146"/>
      <c r="N349" s="146"/>
      <c r="O349" s="146"/>
      <c r="P349" s="146"/>
      <c r="Q349" s="146"/>
      <c r="R349" s="146"/>
      <c r="S349" s="146"/>
      <c r="T349" s="146"/>
      <c r="U349" s="146"/>
      <c r="V349" s="146"/>
      <c r="W349" s="146"/>
      <c r="X349" s="146"/>
      <c r="Y349" s="146"/>
      <c r="Z349" s="146"/>
      <c r="AA349" s="146"/>
    </row>
    <row r="350" spans="1:27" ht="15.75" customHeight="1" x14ac:dyDescent="0.25">
      <c r="A350" s="146"/>
      <c r="B350" s="146"/>
      <c r="C350" s="146"/>
      <c r="D350" s="146"/>
      <c r="E350" s="146"/>
      <c r="F350" s="146"/>
      <c r="G350" s="146"/>
      <c r="H350" s="146"/>
      <c r="I350" s="146"/>
      <c r="J350" s="146"/>
      <c r="K350" s="146"/>
      <c r="L350" s="146"/>
      <c r="M350" s="146"/>
      <c r="N350" s="146"/>
      <c r="O350" s="146"/>
      <c r="P350" s="146"/>
      <c r="Q350" s="146"/>
      <c r="R350" s="146"/>
      <c r="S350" s="146"/>
      <c r="T350" s="146"/>
      <c r="U350" s="146"/>
      <c r="V350" s="146"/>
      <c r="W350" s="146"/>
      <c r="X350" s="146"/>
      <c r="Y350" s="146"/>
      <c r="Z350" s="146"/>
      <c r="AA350" s="146"/>
    </row>
    <row r="351" spans="1:27" ht="15.75" customHeight="1" x14ac:dyDescent="0.25">
      <c r="A351" s="146"/>
      <c r="B351" s="146"/>
      <c r="C351" s="146"/>
      <c r="D351" s="146"/>
      <c r="E351" s="146"/>
      <c r="F351" s="146"/>
      <c r="G351" s="146"/>
      <c r="H351" s="146"/>
      <c r="I351" s="146"/>
      <c r="J351" s="146"/>
      <c r="K351" s="146"/>
      <c r="L351" s="146"/>
      <c r="M351" s="146"/>
      <c r="N351" s="146"/>
      <c r="O351" s="146"/>
      <c r="P351" s="146"/>
      <c r="Q351" s="146"/>
      <c r="R351" s="146"/>
      <c r="S351" s="146"/>
      <c r="T351" s="146"/>
      <c r="U351" s="146"/>
      <c r="V351" s="146"/>
      <c r="W351" s="146"/>
      <c r="X351" s="146"/>
      <c r="Y351" s="146"/>
      <c r="Z351" s="146"/>
      <c r="AA351" s="146"/>
    </row>
    <row r="352" spans="1:27" ht="15.75" customHeight="1" x14ac:dyDescent="0.25">
      <c r="A352" s="146"/>
      <c r="B352" s="146"/>
      <c r="C352" s="146"/>
      <c r="D352" s="146"/>
      <c r="E352" s="146"/>
      <c r="F352" s="146"/>
      <c r="G352" s="146"/>
      <c r="H352" s="146"/>
      <c r="I352" s="146"/>
      <c r="J352" s="146"/>
      <c r="K352" s="146"/>
      <c r="L352" s="146"/>
      <c r="M352" s="146"/>
      <c r="N352" s="146"/>
      <c r="O352" s="146"/>
      <c r="P352" s="146"/>
      <c r="Q352" s="146"/>
      <c r="R352" s="146"/>
      <c r="S352" s="146"/>
      <c r="T352" s="146"/>
      <c r="U352" s="146"/>
      <c r="V352" s="146"/>
      <c r="W352" s="146"/>
      <c r="X352" s="146"/>
      <c r="Y352" s="146"/>
      <c r="Z352" s="146"/>
      <c r="AA352" s="146"/>
    </row>
    <row r="353" spans="1:27" ht="15.75" customHeight="1" x14ac:dyDescent="0.25">
      <c r="A353" s="146"/>
      <c r="B353" s="146"/>
      <c r="C353" s="146"/>
      <c r="D353" s="146"/>
      <c r="E353" s="146"/>
      <c r="F353" s="146"/>
      <c r="G353" s="146"/>
      <c r="H353" s="146"/>
      <c r="I353" s="146"/>
      <c r="J353" s="146"/>
      <c r="K353" s="146"/>
      <c r="L353" s="146"/>
      <c r="M353" s="146"/>
      <c r="N353" s="146"/>
      <c r="O353" s="146"/>
      <c r="P353" s="146"/>
      <c r="Q353" s="146"/>
      <c r="R353" s="146"/>
      <c r="S353" s="146"/>
      <c r="T353" s="146"/>
      <c r="U353" s="146"/>
      <c r="V353" s="146"/>
      <c r="W353" s="146"/>
      <c r="X353" s="146"/>
      <c r="Y353" s="146"/>
      <c r="Z353" s="146"/>
      <c r="AA353" s="146"/>
    </row>
    <row r="354" spans="1:27" ht="15.75" customHeight="1" x14ac:dyDescent="0.25">
      <c r="A354" s="146"/>
      <c r="B354" s="146"/>
      <c r="C354" s="146"/>
      <c r="D354" s="146"/>
      <c r="E354" s="146"/>
      <c r="F354" s="146"/>
      <c r="G354" s="146"/>
      <c r="H354" s="146"/>
      <c r="I354" s="146"/>
      <c r="J354" s="146"/>
      <c r="K354" s="146"/>
      <c r="L354" s="146"/>
      <c r="M354" s="146"/>
      <c r="N354" s="146"/>
      <c r="O354" s="146"/>
      <c r="P354" s="146"/>
      <c r="Q354" s="146"/>
      <c r="R354" s="146"/>
      <c r="S354" s="146"/>
      <c r="T354" s="146"/>
      <c r="U354" s="146"/>
      <c r="V354" s="146"/>
      <c r="W354" s="146"/>
      <c r="X354" s="146"/>
      <c r="Y354" s="146"/>
      <c r="Z354" s="146"/>
      <c r="AA354" s="146"/>
    </row>
    <row r="355" spans="1:27" ht="15.75" customHeight="1" x14ac:dyDescent="0.25">
      <c r="A355" s="146"/>
      <c r="B355" s="146"/>
      <c r="C355" s="146"/>
      <c r="D355" s="146"/>
      <c r="E355" s="146"/>
      <c r="F355" s="146"/>
      <c r="G355" s="146"/>
      <c r="H355" s="146"/>
      <c r="I355" s="146"/>
      <c r="J355" s="146"/>
      <c r="K355" s="146"/>
      <c r="L355" s="146"/>
      <c r="M355" s="146"/>
      <c r="N355" s="146"/>
      <c r="O355" s="146"/>
      <c r="P355" s="146"/>
      <c r="Q355" s="146"/>
      <c r="R355" s="146"/>
      <c r="S355" s="146"/>
      <c r="T355" s="146"/>
      <c r="U355" s="146"/>
      <c r="V355" s="146"/>
      <c r="W355" s="146"/>
      <c r="X355" s="146"/>
      <c r="Y355" s="146"/>
      <c r="Z355" s="146"/>
      <c r="AA355" s="146"/>
    </row>
    <row r="356" spans="1:27" ht="15.75" customHeight="1" x14ac:dyDescent="0.25">
      <c r="A356" s="146"/>
      <c r="B356" s="146"/>
      <c r="C356" s="146"/>
      <c r="D356" s="146"/>
      <c r="E356" s="146"/>
      <c r="F356" s="146"/>
      <c r="G356" s="146"/>
      <c r="H356" s="146"/>
      <c r="I356" s="146"/>
      <c r="J356" s="146"/>
      <c r="K356" s="146"/>
      <c r="L356" s="146"/>
      <c r="M356" s="146"/>
      <c r="N356" s="146"/>
      <c r="O356" s="146"/>
      <c r="P356" s="146"/>
      <c r="Q356" s="146"/>
      <c r="R356" s="146"/>
      <c r="S356" s="146"/>
      <c r="T356" s="146"/>
      <c r="U356" s="146"/>
      <c r="V356" s="146"/>
      <c r="W356" s="146"/>
      <c r="X356" s="146"/>
      <c r="Y356" s="146"/>
      <c r="Z356" s="146"/>
      <c r="AA356" s="146"/>
    </row>
    <row r="357" spans="1:27" ht="15.75" customHeight="1" x14ac:dyDescent="0.25">
      <c r="A357" s="146"/>
      <c r="B357" s="146"/>
      <c r="C357" s="146"/>
      <c r="D357" s="146"/>
      <c r="E357" s="146"/>
      <c r="F357" s="146"/>
      <c r="G357" s="146"/>
      <c r="H357" s="146"/>
      <c r="I357" s="146"/>
      <c r="J357" s="146"/>
      <c r="K357" s="146"/>
      <c r="L357" s="146"/>
      <c r="M357" s="146"/>
      <c r="N357" s="146"/>
      <c r="O357" s="146"/>
      <c r="P357" s="146"/>
      <c r="Q357" s="146"/>
      <c r="R357" s="146"/>
      <c r="S357" s="146"/>
      <c r="T357" s="146"/>
      <c r="U357" s="146"/>
      <c r="V357" s="146"/>
      <c r="W357" s="146"/>
      <c r="X357" s="146"/>
      <c r="Y357" s="146"/>
      <c r="Z357" s="146"/>
      <c r="AA357" s="146"/>
    </row>
    <row r="358" spans="1:27" ht="15.75" customHeight="1" x14ac:dyDescent="0.25">
      <c r="A358" s="146"/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146"/>
      <c r="M358" s="146"/>
      <c r="N358" s="146"/>
      <c r="O358" s="146"/>
      <c r="P358" s="146"/>
      <c r="Q358" s="146"/>
      <c r="R358" s="146"/>
      <c r="S358" s="146"/>
      <c r="T358" s="146"/>
      <c r="U358" s="146"/>
      <c r="V358" s="146"/>
      <c r="W358" s="146"/>
      <c r="X358" s="146"/>
      <c r="Y358" s="146"/>
      <c r="Z358" s="146"/>
      <c r="AA358" s="146"/>
    </row>
    <row r="359" spans="1:27" ht="15.75" customHeight="1" x14ac:dyDescent="0.25">
      <c r="A359" s="146"/>
      <c r="B359" s="146"/>
      <c r="C359" s="146"/>
      <c r="D359" s="146"/>
      <c r="E359" s="146"/>
      <c r="F359" s="146"/>
      <c r="G359" s="146"/>
      <c r="H359" s="146"/>
      <c r="I359" s="146"/>
      <c r="J359" s="146"/>
      <c r="K359" s="146"/>
      <c r="L359" s="146"/>
      <c r="M359" s="146"/>
      <c r="N359" s="146"/>
      <c r="O359" s="146"/>
      <c r="P359" s="146"/>
      <c r="Q359" s="146"/>
      <c r="R359" s="146"/>
      <c r="S359" s="146"/>
      <c r="T359" s="146"/>
      <c r="U359" s="146"/>
      <c r="V359" s="146"/>
      <c r="W359" s="146"/>
      <c r="X359" s="146"/>
      <c r="Y359" s="146"/>
      <c r="Z359" s="146"/>
      <c r="AA359" s="146"/>
    </row>
    <row r="360" spans="1:27" ht="15.75" customHeight="1" x14ac:dyDescent="0.25">
      <c r="A360" s="146"/>
      <c r="B360" s="146"/>
      <c r="C360" s="146"/>
      <c r="D360" s="146"/>
      <c r="E360" s="146"/>
      <c r="F360" s="146"/>
      <c r="G360" s="146"/>
      <c r="H360" s="146"/>
      <c r="I360" s="146"/>
      <c r="J360" s="146"/>
      <c r="K360" s="146"/>
      <c r="L360" s="146"/>
      <c r="M360" s="146"/>
      <c r="N360" s="146"/>
      <c r="O360" s="146"/>
      <c r="P360" s="146"/>
      <c r="Q360" s="146"/>
      <c r="R360" s="146"/>
      <c r="S360" s="146"/>
      <c r="T360" s="146"/>
      <c r="U360" s="146"/>
      <c r="V360" s="146"/>
      <c r="W360" s="146"/>
      <c r="X360" s="146"/>
      <c r="Y360" s="146"/>
      <c r="Z360" s="146"/>
      <c r="AA360" s="146"/>
    </row>
    <row r="361" spans="1:27" ht="15.75" customHeight="1" x14ac:dyDescent="0.25">
      <c r="A361" s="146"/>
      <c r="B361" s="146"/>
      <c r="C361" s="146"/>
      <c r="D361" s="146"/>
      <c r="E361" s="146"/>
      <c r="F361" s="146"/>
      <c r="G361" s="146"/>
      <c r="H361" s="146"/>
      <c r="I361" s="146"/>
      <c r="J361" s="146"/>
      <c r="K361" s="146"/>
      <c r="L361" s="146"/>
      <c r="M361" s="146"/>
      <c r="N361" s="146"/>
      <c r="O361" s="146"/>
      <c r="P361" s="146"/>
      <c r="Q361" s="146"/>
      <c r="R361" s="146"/>
      <c r="S361" s="146"/>
      <c r="T361" s="146"/>
      <c r="U361" s="146"/>
      <c r="V361" s="146"/>
      <c r="W361" s="146"/>
      <c r="X361" s="146"/>
      <c r="Y361" s="146"/>
      <c r="Z361" s="146"/>
      <c r="AA361" s="146"/>
    </row>
    <row r="362" spans="1:27" ht="15.75" customHeight="1" x14ac:dyDescent="0.25">
      <c r="A362" s="146"/>
      <c r="B362" s="146"/>
      <c r="C362" s="146"/>
      <c r="D362" s="146"/>
      <c r="E362" s="146"/>
      <c r="F362" s="146"/>
      <c r="G362" s="146"/>
      <c r="H362" s="146"/>
      <c r="I362" s="146"/>
      <c r="J362" s="146"/>
      <c r="K362" s="146"/>
      <c r="L362" s="146"/>
      <c r="M362" s="146"/>
      <c r="N362" s="146"/>
      <c r="O362" s="146"/>
      <c r="P362" s="146"/>
      <c r="Q362" s="146"/>
      <c r="R362" s="146"/>
      <c r="S362" s="146"/>
      <c r="T362" s="146"/>
      <c r="U362" s="146"/>
      <c r="V362" s="146"/>
      <c r="W362" s="146"/>
      <c r="X362" s="146"/>
      <c r="Y362" s="146"/>
      <c r="Z362" s="146"/>
      <c r="AA362" s="146"/>
    </row>
    <row r="363" spans="1:27" ht="15.75" customHeight="1" x14ac:dyDescent="0.25">
      <c r="A363" s="146"/>
      <c r="B363" s="146"/>
      <c r="C363" s="146"/>
      <c r="D363" s="146"/>
      <c r="E363" s="146"/>
      <c r="F363" s="146"/>
      <c r="G363" s="146"/>
      <c r="H363" s="146"/>
      <c r="I363" s="146"/>
      <c r="J363" s="146"/>
      <c r="K363" s="146"/>
      <c r="L363" s="146"/>
      <c r="M363" s="146"/>
      <c r="N363" s="146"/>
      <c r="O363" s="146"/>
      <c r="P363" s="146"/>
      <c r="Q363" s="146"/>
      <c r="R363" s="146"/>
      <c r="S363" s="146"/>
      <c r="T363" s="146"/>
      <c r="U363" s="146"/>
      <c r="V363" s="146"/>
      <c r="W363" s="146"/>
      <c r="X363" s="146"/>
      <c r="Y363" s="146"/>
      <c r="Z363" s="146"/>
      <c r="AA363" s="146"/>
    </row>
    <row r="364" spans="1:27" ht="15.75" customHeight="1" x14ac:dyDescent="0.25">
      <c r="A364" s="146"/>
      <c r="B364" s="146"/>
      <c r="C364" s="146"/>
      <c r="D364" s="146"/>
      <c r="E364" s="146"/>
      <c r="F364" s="146"/>
      <c r="G364" s="146"/>
      <c r="H364" s="146"/>
      <c r="I364" s="146"/>
      <c r="J364" s="146"/>
      <c r="K364" s="146"/>
      <c r="L364" s="146"/>
      <c r="M364" s="146"/>
      <c r="N364" s="146"/>
      <c r="O364" s="146"/>
      <c r="P364" s="146"/>
      <c r="Q364" s="146"/>
      <c r="R364" s="146"/>
      <c r="S364" s="146"/>
      <c r="T364" s="146"/>
      <c r="U364" s="146"/>
      <c r="V364" s="146"/>
      <c r="W364" s="146"/>
      <c r="X364" s="146"/>
      <c r="Y364" s="146"/>
      <c r="Z364" s="146"/>
      <c r="AA364" s="146"/>
    </row>
    <row r="365" spans="1:27" ht="15.75" customHeight="1" x14ac:dyDescent="0.25">
      <c r="A365" s="146"/>
      <c r="B365" s="146"/>
      <c r="C365" s="146"/>
      <c r="D365" s="146"/>
      <c r="E365" s="146"/>
      <c r="F365" s="146"/>
      <c r="G365" s="146"/>
      <c r="H365" s="146"/>
      <c r="I365" s="146"/>
      <c r="J365" s="146"/>
      <c r="K365" s="146"/>
      <c r="L365" s="146"/>
      <c r="M365" s="146"/>
      <c r="N365" s="146"/>
      <c r="O365" s="146"/>
      <c r="P365" s="146"/>
      <c r="Q365" s="146"/>
      <c r="R365" s="146"/>
      <c r="S365" s="146"/>
      <c r="T365" s="146"/>
      <c r="U365" s="146"/>
      <c r="V365" s="146"/>
      <c r="W365" s="146"/>
      <c r="X365" s="146"/>
      <c r="Y365" s="146"/>
      <c r="Z365" s="146"/>
      <c r="AA365" s="146"/>
    </row>
    <row r="366" spans="1:27" ht="15.75" customHeight="1" x14ac:dyDescent="0.25">
      <c r="A366" s="146"/>
      <c r="B366" s="146"/>
      <c r="C366" s="146"/>
      <c r="D366" s="146"/>
      <c r="E366" s="146"/>
      <c r="F366" s="146"/>
      <c r="G366" s="146"/>
      <c r="H366" s="146"/>
      <c r="I366" s="146"/>
      <c r="J366" s="146"/>
      <c r="K366" s="146"/>
      <c r="L366" s="146"/>
      <c r="M366" s="146"/>
      <c r="N366" s="146"/>
      <c r="O366" s="146"/>
      <c r="P366" s="146"/>
      <c r="Q366" s="146"/>
      <c r="R366" s="146"/>
      <c r="S366" s="146"/>
      <c r="T366" s="146"/>
      <c r="U366" s="146"/>
      <c r="V366" s="146"/>
      <c r="W366" s="146"/>
      <c r="X366" s="146"/>
      <c r="Y366" s="146"/>
      <c r="Z366" s="146"/>
      <c r="AA366" s="146"/>
    </row>
    <row r="367" spans="1:27" ht="15.75" customHeight="1" x14ac:dyDescent="0.25">
      <c r="A367" s="146"/>
      <c r="B367" s="146"/>
      <c r="C367" s="146"/>
      <c r="D367" s="146"/>
      <c r="E367" s="146"/>
      <c r="F367" s="146"/>
      <c r="G367" s="146"/>
      <c r="H367" s="146"/>
      <c r="I367" s="146"/>
      <c r="J367" s="146"/>
      <c r="K367" s="146"/>
      <c r="L367" s="146"/>
      <c r="M367" s="146"/>
      <c r="N367" s="146"/>
      <c r="O367" s="146"/>
      <c r="P367" s="146"/>
      <c r="Q367" s="146"/>
      <c r="R367" s="146"/>
      <c r="S367" s="146"/>
      <c r="T367" s="146"/>
      <c r="U367" s="146"/>
      <c r="V367" s="146"/>
      <c r="W367" s="146"/>
      <c r="X367" s="146"/>
      <c r="Y367" s="146"/>
      <c r="Z367" s="146"/>
      <c r="AA367" s="146"/>
    </row>
    <row r="368" spans="1:27" ht="15.75" customHeight="1" x14ac:dyDescent="0.25">
      <c r="A368" s="146"/>
      <c r="B368" s="146"/>
      <c r="C368" s="146"/>
      <c r="D368" s="146"/>
      <c r="E368" s="146"/>
      <c r="F368" s="146"/>
      <c r="G368" s="146"/>
      <c r="H368" s="146"/>
      <c r="I368" s="146"/>
      <c r="J368" s="146"/>
      <c r="K368" s="146"/>
      <c r="L368" s="146"/>
      <c r="M368" s="146"/>
      <c r="N368" s="146"/>
      <c r="O368" s="146"/>
      <c r="P368" s="146"/>
      <c r="Q368" s="146"/>
      <c r="R368" s="146"/>
      <c r="S368" s="146"/>
      <c r="T368" s="146"/>
      <c r="U368" s="146"/>
      <c r="V368" s="146"/>
      <c r="W368" s="146"/>
      <c r="X368" s="146"/>
      <c r="Y368" s="146"/>
      <c r="Z368" s="146"/>
      <c r="AA368" s="146"/>
    </row>
    <row r="369" spans="1:27" ht="15.75" customHeight="1" x14ac:dyDescent="0.25">
      <c r="A369" s="146"/>
      <c r="B369" s="146"/>
      <c r="C369" s="146"/>
      <c r="D369" s="146"/>
      <c r="E369" s="146"/>
      <c r="F369" s="146"/>
      <c r="G369" s="146"/>
      <c r="H369" s="146"/>
      <c r="I369" s="146"/>
      <c r="J369" s="146"/>
      <c r="K369" s="146"/>
      <c r="L369" s="146"/>
      <c r="M369" s="146"/>
      <c r="N369" s="146"/>
      <c r="O369" s="146"/>
      <c r="P369" s="146"/>
      <c r="Q369" s="146"/>
      <c r="R369" s="146"/>
      <c r="S369" s="146"/>
      <c r="T369" s="146"/>
      <c r="U369" s="146"/>
      <c r="V369" s="146"/>
      <c r="W369" s="146"/>
      <c r="X369" s="146"/>
      <c r="Y369" s="146"/>
      <c r="Z369" s="146"/>
      <c r="AA369" s="146"/>
    </row>
    <row r="370" spans="1:27" ht="15.75" customHeight="1" x14ac:dyDescent="0.25">
      <c r="A370" s="146"/>
      <c r="B370" s="146"/>
      <c r="C370" s="146"/>
      <c r="D370" s="146"/>
      <c r="E370" s="146"/>
      <c r="F370" s="146"/>
      <c r="G370" s="146"/>
      <c r="H370" s="146"/>
      <c r="I370" s="146"/>
      <c r="J370" s="146"/>
      <c r="K370" s="146"/>
      <c r="L370" s="146"/>
      <c r="M370" s="146"/>
      <c r="N370" s="146"/>
      <c r="O370" s="146"/>
      <c r="P370" s="146"/>
      <c r="Q370" s="146"/>
      <c r="R370" s="146"/>
      <c r="S370" s="146"/>
      <c r="T370" s="146"/>
      <c r="U370" s="146"/>
      <c r="V370" s="146"/>
      <c r="W370" s="146"/>
      <c r="X370" s="146"/>
      <c r="Y370" s="146"/>
      <c r="Z370" s="146"/>
      <c r="AA370" s="146"/>
    </row>
    <row r="371" spans="1:27" ht="15.75" customHeight="1" x14ac:dyDescent="0.25">
      <c r="A371" s="146"/>
      <c r="B371" s="146"/>
      <c r="C371" s="146"/>
      <c r="D371" s="146"/>
      <c r="E371" s="146"/>
      <c r="F371" s="146"/>
      <c r="G371" s="146"/>
      <c r="H371" s="146"/>
      <c r="I371" s="146"/>
      <c r="J371" s="146"/>
      <c r="K371" s="146"/>
      <c r="L371" s="146"/>
      <c r="M371" s="146"/>
      <c r="N371" s="146"/>
      <c r="O371" s="146"/>
      <c r="P371" s="146"/>
      <c r="Q371" s="146"/>
      <c r="R371" s="146"/>
      <c r="S371" s="146"/>
      <c r="T371" s="146"/>
      <c r="U371" s="146"/>
      <c r="V371" s="146"/>
      <c r="W371" s="146"/>
      <c r="X371" s="146"/>
      <c r="Y371" s="146"/>
      <c r="Z371" s="146"/>
      <c r="AA371" s="146"/>
    </row>
    <row r="372" spans="1:27" ht="15.75" customHeight="1" x14ac:dyDescent="0.25">
      <c r="A372" s="146"/>
      <c r="B372" s="146"/>
      <c r="C372" s="146"/>
      <c r="D372" s="146"/>
      <c r="E372" s="146"/>
      <c r="F372" s="146"/>
      <c r="G372" s="146"/>
      <c r="H372" s="146"/>
      <c r="I372" s="146"/>
      <c r="J372" s="146"/>
      <c r="K372" s="146"/>
      <c r="L372" s="146"/>
      <c r="M372" s="146"/>
      <c r="N372" s="146"/>
      <c r="O372" s="146"/>
      <c r="P372" s="146"/>
      <c r="Q372" s="146"/>
      <c r="R372" s="146"/>
      <c r="S372" s="146"/>
      <c r="T372" s="146"/>
      <c r="U372" s="146"/>
      <c r="V372" s="146"/>
      <c r="W372" s="146"/>
      <c r="X372" s="146"/>
      <c r="Y372" s="146"/>
      <c r="Z372" s="146"/>
      <c r="AA372" s="146"/>
    </row>
    <row r="373" spans="1:27" ht="15.75" customHeight="1" x14ac:dyDescent="0.25">
      <c r="A373" s="146"/>
      <c r="B373" s="146"/>
      <c r="C373" s="146"/>
      <c r="D373" s="146"/>
      <c r="E373" s="146"/>
      <c r="F373" s="146"/>
      <c r="G373" s="146"/>
      <c r="H373" s="146"/>
      <c r="I373" s="146"/>
      <c r="J373" s="146"/>
      <c r="K373" s="146"/>
      <c r="L373" s="146"/>
      <c r="M373" s="146"/>
      <c r="N373" s="146"/>
      <c r="O373" s="146"/>
      <c r="P373" s="146"/>
      <c r="Q373" s="146"/>
      <c r="R373" s="146"/>
      <c r="S373" s="146"/>
      <c r="T373" s="146"/>
      <c r="U373" s="146"/>
      <c r="V373" s="146"/>
      <c r="W373" s="146"/>
      <c r="X373" s="146"/>
      <c r="Y373" s="146"/>
      <c r="Z373" s="146"/>
      <c r="AA373" s="146"/>
    </row>
    <row r="374" spans="1:27" ht="15.75" customHeight="1" x14ac:dyDescent="0.25">
      <c r="A374" s="146"/>
      <c r="B374" s="146"/>
      <c r="C374" s="146"/>
      <c r="D374" s="146"/>
      <c r="E374" s="146"/>
      <c r="F374" s="146"/>
      <c r="G374" s="146"/>
      <c r="H374" s="146"/>
      <c r="I374" s="146"/>
      <c r="J374" s="146"/>
      <c r="K374" s="146"/>
      <c r="L374" s="146"/>
      <c r="M374" s="146"/>
      <c r="N374" s="146"/>
      <c r="O374" s="146"/>
      <c r="P374" s="146"/>
      <c r="Q374" s="146"/>
      <c r="R374" s="146"/>
      <c r="S374" s="146"/>
      <c r="T374" s="146"/>
      <c r="U374" s="146"/>
      <c r="V374" s="146"/>
      <c r="W374" s="146"/>
      <c r="X374" s="146"/>
      <c r="Y374" s="146"/>
      <c r="Z374" s="146"/>
      <c r="AA374" s="146"/>
    </row>
    <row r="375" spans="1:27" ht="15.75" customHeight="1" x14ac:dyDescent="0.25">
      <c r="A375" s="146"/>
      <c r="B375" s="146"/>
      <c r="C375" s="146"/>
      <c r="D375" s="146"/>
      <c r="E375" s="146"/>
      <c r="F375" s="146"/>
      <c r="G375" s="146"/>
      <c r="H375" s="146"/>
      <c r="I375" s="146"/>
      <c r="J375" s="146"/>
      <c r="K375" s="146"/>
      <c r="L375" s="146"/>
      <c r="M375" s="146"/>
      <c r="N375" s="146"/>
      <c r="O375" s="146"/>
      <c r="P375" s="146"/>
      <c r="Q375" s="146"/>
      <c r="R375" s="146"/>
      <c r="S375" s="146"/>
      <c r="T375" s="146"/>
      <c r="U375" s="146"/>
      <c r="V375" s="146"/>
      <c r="W375" s="146"/>
      <c r="X375" s="146"/>
      <c r="Y375" s="146"/>
      <c r="Z375" s="146"/>
      <c r="AA375" s="146"/>
    </row>
    <row r="376" spans="1:27" ht="15.75" customHeight="1" x14ac:dyDescent="0.25">
      <c r="A376" s="146"/>
      <c r="B376" s="146"/>
      <c r="C376" s="146"/>
      <c r="D376" s="146"/>
      <c r="E376" s="146"/>
      <c r="F376" s="146"/>
      <c r="G376" s="146"/>
      <c r="H376" s="146"/>
      <c r="I376" s="146"/>
      <c r="J376" s="146"/>
      <c r="K376" s="146"/>
      <c r="L376" s="146"/>
      <c r="M376" s="146"/>
      <c r="N376" s="146"/>
      <c r="O376" s="146"/>
      <c r="P376" s="146"/>
      <c r="Q376" s="146"/>
      <c r="R376" s="146"/>
      <c r="S376" s="146"/>
      <c r="T376" s="146"/>
      <c r="U376" s="146"/>
      <c r="V376" s="146"/>
      <c r="W376" s="146"/>
      <c r="X376" s="146"/>
      <c r="Y376" s="146"/>
      <c r="Z376" s="146"/>
      <c r="AA376" s="146"/>
    </row>
    <row r="377" spans="1:27" ht="15.75" customHeight="1" x14ac:dyDescent="0.25">
      <c r="A377" s="146"/>
      <c r="B377" s="146"/>
      <c r="C377" s="146"/>
      <c r="D377" s="146"/>
      <c r="E377" s="146"/>
      <c r="F377" s="146"/>
      <c r="G377" s="146"/>
      <c r="H377" s="146"/>
      <c r="I377" s="146"/>
      <c r="J377" s="146"/>
      <c r="K377" s="146"/>
      <c r="L377" s="146"/>
      <c r="M377" s="146"/>
      <c r="N377" s="146"/>
      <c r="O377" s="146"/>
      <c r="P377" s="146"/>
      <c r="Q377" s="146"/>
      <c r="R377" s="146"/>
      <c r="S377" s="146"/>
      <c r="T377" s="146"/>
      <c r="U377" s="146"/>
      <c r="V377" s="146"/>
      <c r="W377" s="146"/>
      <c r="X377" s="146"/>
      <c r="Y377" s="146"/>
      <c r="Z377" s="146"/>
      <c r="AA377" s="146"/>
    </row>
    <row r="378" spans="1:27" ht="15.75" customHeight="1" x14ac:dyDescent="0.25">
      <c r="A378" s="146"/>
      <c r="B378" s="146"/>
      <c r="C378" s="146"/>
      <c r="D378" s="146"/>
      <c r="E378" s="146"/>
      <c r="F378" s="146"/>
      <c r="G378" s="146"/>
      <c r="H378" s="146"/>
      <c r="I378" s="146"/>
      <c r="J378" s="146"/>
      <c r="K378" s="146"/>
      <c r="L378" s="146"/>
      <c r="M378" s="146"/>
      <c r="N378" s="146"/>
      <c r="O378" s="146"/>
      <c r="P378" s="146"/>
      <c r="Q378" s="146"/>
      <c r="R378" s="146"/>
      <c r="S378" s="146"/>
      <c r="T378" s="146"/>
      <c r="U378" s="146"/>
      <c r="V378" s="146"/>
      <c r="W378" s="146"/>
      <c r="X378" s="146"/>
      <c r="Y378" s="146"/>
      <c r="Z378" s="146"/>
      <c r="AA378" s="146"/>
    </row>
    <row r="379" spans="1:27" ht="15.75" customHeight="1" x14ac:dyDescent="0.25">
      <c r="A379" s="146"/>
      <c r="B379" s="146"/>
      <c r="C379" s="146"/>
      <c r="D379" s="146"/>
      <c r="E379" s="146"/>
      <c r="F379" s="146"/>
      <c r="G379" s="146"/>
      <c r="H379" s="146"/>
      <c r="I379" s="146"/>
      <c r="J379" s="146"/>
      <c r="K379" s="146"/>
      <c r="L379" s="146"/>
      <c r="M379" s="146"/>
      <c r="N379" s="146"/>
      <c r="O379" s="146"/>
      <c r="P379" s="146"/>
      <c r="Q379" s="146"/>
      <c r="R379" s="146"/>
      <c r="S379" s="146"/>
      <c r="T379" s="146"/>
      <c r="U379" s="146"/>
      <c r="V379" s="146"/>
      <c r="W379" s="146"/>
      <c r="X379" s="146"/>
      <c r="Y379" s="146"/>
      <c r="Z379" s="146"/>
      <c r="AA379" s="146"/>
    </row>
    <row r="380" spans="1:27" ht="15.75" customHeight="1" x14ac:dyDescent="0.25">
      <c r="A380" s="146"/>
      <c r="B380" s="146"/>
      <c r="C380" s="146"/>
      <c r="D380" s="146"/>
      <c r="E380" s="146"/>
      <c r="F380" s="146"/>
      <c r="G380" s="146"/>
      <c r="H380" s="146"/>
      <c r="I380" s="146"/>
      <c r="J380" s="146"/>
      <c r="K380" s="146"/>
      <c r="L380" s="146"/>
      <c r="M380" s="146"/>
      <c r="N380" s="146"/>
      <c r="O380" s="146"/>
      <c r="P380" s="146"/>
      <c r="Q380" s="146"/>
      <c r="R380" s="146"/>
      <c r="S380" s="146"/>
      <c r="T380" s="146"/>
      <c r="U380" s="146"/>
      <c r="V380" s="146"/>
      <c r="W380" s="146"/>
      <c r="X380" s="146"/>
      <c r="Y380" s="146"/>
      <c r="Z380" s="146"/>
      <c r="AA380" s="146"/>
    </row>
    <row r="381" spans="1:27" ht="15.75" customHeight="1" x14ac:dyDescent="0.25">
      <c r="A381" s="146"/>
      <c r="B381" s="146"/>
      <c r="C381" s="146"/>
      <c r="D381" s="146"/>
      <c r="E381" s="146"/>
      <c r="F381" s="146"/>
      <c r="G381" s="146"/>
      <c r="H381" s="146"/>
      <c r="I381" s="146"/>
      <c r="J381" s="146"/>
      <c r="K381" s="146"/>
      <c r="L381" s="146"/>
      <c r="M381" s="146"/>
      <c r="N381" s="146"/>
      <c r="O381" s="146"/>
      <c r="P381" s="146"/>
      <c r="Q381" s="146"/>
      <c r="R381" s="146"/>
      <c r="S381" s="146"/>
      <c r="T381" s="146"/>
      <c r="U381" s="146"/>
      <c r="V381" s="146"/>
      <c r="W381" s="146"/>
      <c r="X381" s="146"/>
      <c r="Y381" s="146"/>
      <c r="Z381" s="146"/>
      <c r="AA381" s="146"/>
    </row>
    <row r="382" spans="1:27" ht="15.75" customHeight="1" x14ac:dyDescent="0.25">
      <c r="A382" s="146"/>
      <c r="B382" s="146"/>
      <c r="C382" s="146"/>
      <c r="D382" s="146"/>
      <c r="E382" s="146"/>
      <c r="F382" s="146"/>
      <c r="G382" s="146"/>
      <c r="H382" s="146"/>
      <c r="I382" s="146"/>
      <c r="J382" s="146"/>
      <c r="K382" s="146"/>
      <c r="L382" s="146"/>
      <c r="M382" s="146"/>
      <c r="N382" s="146"/>
      <c r="O382" s="146"/>
      <c r="P382" s="146"/>
      <c r="Q382" s="146"/>
      <c r="R382" s="146"/>
      <c r="S382" s="146"/>
      <c r="T382" s="146"/>
      <c r="U382" s="146"/>
      <c r="V382" s="146"/>
      <c r="W382" s="146"/>
      <c r="X382" s="146"/>
      <c r="Y382" s="146"/>
      <c r="Z382" s="146"/>
      <c r="AA382" s="146"/>
    </row>
    <row r="383" spans="1:27" ht="15.75" customHeight="1" x14ac:dyDescent="0.25">
      <c r="A383" s="146"/>
      <c r="B383" s="146"/>
      <c r="C383" s="146"/>
      <c r="D383" s="146"/>
      <c r="E383" s="146"/>
      <c r="F383" s="146"/>
      <c r="G383" s="146"/>
      <c r="H383" s="146"/>
      <c r="I383" s="146"/>
      <c r="J383" s="146"/>
      <c r="K383" s="146"/>
      <c r="L383" s="146"/>
      <c r="M383" s="146"/>
      <c r="N383" s="146"/>
      <c r="O383" s="146"/>
      <c r="P383" s="146"/>
      <c r="Q383" s="146"/>
      <c r="R383" s="146"/>
      <c r="S383" s="146"/>
      <c r="T383" s="146"/>
      <c r="U383" s="146"/>
      <c r="V383" s="146"/>
      <c r="W383" s="146"/>
      <c r="X383" s="146"/>
      <c r="Y383" s="146"/>
      <c r="Z383" s="146"/>
      <c r="AA383" s="146"/>
    </row>
    <row r="384" spans="1:27" ht="15.75" customHeight="1" x14ac:dyDescent="0.25">
      <c r="A384" s="146"/>
      <c r="B384" s="146"/>
      <c r="C384" s="146"/>
      <c r="D384" s="146"/>
      <c r="E384" s="146"/>
      <c r="F384" s="146"/>
      <c r="G384" s="146"/>
      <c r="H384" s="146"/>
      <c r="I384" s="146"/>
      <c r="J384" s="146"/>
      <c r="K384" s="146"/>
      <c r="L384" s="146"/>
      <c r="M384" s="146"/>
      <c r="N384" s="146"/>
      <c r="O384" s="146"/>
      <c r="P384" s="146"/>
      <c r="Q384" s="146"/>
      <c r="R384" s="146"/>
      <c r="S384" s="146"/>
      <c r="T384" s="146"/>
      <c r="U384" s="146"/>
      <c r="V384" s="146"/>
      <c r="W384" s="146"/>
      <c r="X384" s="146"/>
      <c r="Y384" s="146"/>
      <c r="Z384" s="146"/>
      <c r="AA384" s="146"/>
    </row>
    <row r="385" spans="1:27" ht="15.75" customHeight="1" x14ac:dyDescent="0.25">
      <c r="A385" s="146"/>
      <c r="B385" s="146"/>
      <c r="C385" s="146"/>
      <c r="D385" s="146"/>
      <c r="E385" s="146"/>
      <c r="F385" s="146"/>
      <c r="G385" s="146"/>
      <c r="H385" s="146"/>
      <c r="I385" s="146"/>
      <c r="J385" s="146"/>
      <c r="K385" s="146"/>
      <c r="L385" s="146"/>
      <c r="M385" s="146"/>
      <c r="N385" s="146"/>
      <c r="O385" s="146"/>
      <c r="P385" s="146"/>
      <c r="Q385" s="146"/>
      <c r="R385" s="146"/>
      <c r="S385" s="146"/>
      <c r="T385" s="146"/>
      <c r="U385" s="146"/>
      <c r="V385" s="146"/>
      <c r="W385" s="146"/>
      <c r="X385" s="146"/>
      <c r="Y385" s="146"/>
      <c r="Z385" s="146"/>
      <c r="AA385" s="146"/>
    </row>
    <row r="386" spans="1:27" ht="15.75" customHeight="1" x14ac:dyDescent="0.25">
      <c r="A386" s="146"/>
      <c r="B386" s="146"/>
      <c r="C386" s="146"/>
      <c r="D386" s="146"/>
      <c r="E386" s="146"/>
      <c r="F386" s="146"/>
      <c r="G386" s="146"/>
      <c r="H386" s="146"/>
      <c r="I386" s="146"/>
      <c r="J386" s="146"/>
      <c r="K386" s="146"/>
      <c r="L386" s="146"/>
      <c r="M386" s="146"/>
      <c r="N386" s="146"/>
      <c r="O386" s="146"/>
      <c r="P386" s="146"/>
      <c r="Q386" s="146"/>
      <c r="R386" s="146"/>
      <c r="S386" s="146"/>
      <c r="T386" s="146"/>
      <c r="U386" s="146"/>
      <c r="V386" s="146"/>
      <c r="W386" s="146"/>
      <c r="X386" s="146"/>
      <c r="Y386" s="146"/>
      <c r="Z386" s="146"/>
      <c r="AA386" s="146"/>
    </row>
    <row r="387" spans="1:27" ht="15.75" customHeight="1" x14ac:dyDescent="0.25">
      <c r="A387" s="146"/>
      <c r="B387" s="146"/>
      <c r="C387" s="146"/>
      <c r="D387" s="146"/>
      <c r="E387" s="146"/>
      <c r="F387" s="146"/>
      <c r="G387" s="146"/>
      <c r="H387" s="146"/>
      <c r="I387" s="146"/>
      <c r="J387" s="146"/>
      <c r="K387" s="146"/>
      <c r="L387" s="146"/>
      <c r="M387" s="146"/>
      <c r="N387" s="146"/>
      <c r="O387" s="146"/>
      <c r="P387" s="146"/>
      <c r="Q387" s="146"/>
      <c r="R387" s="146"/>
      <c r="S387" s="146"/>
      <c r="T387" s="146"/>
      <c r="U387" s="146"/>
      <c r="V387" s="146"/>
      <c r="W387" s="146"/>
      <c r="X387" s="146"/>
      <c r="Y387" s="146"/>
      <c r="Z387" s="146"/>
      <c r="AA387" s="146"/>
    </row>
    <row r="388" spans="1:27" ht="15.75" customHeight="1" x14ac:dyDescent="0.25">
      <c r="A388" s="146"/>
      <c r="B388" s="146"/>
      <c r="C388" s="146"/>
      <c r="D388" s="146"/>
      <c r="E388" s="146"/>
      <c r="F388" s="146"/>
      <c r="G388" s="146"/>
      <c r="H388" s="146"/>
      <c r="I388" s="146"/>
      <c r="J388" s="146"/>
      <c r="K388" s="146"/>
      <c r="L388" s="146"/>
      <c r="M388" s="146"/>
      <c r="N388" s="146"/>
      <c r="O388" s="146"/>
      <c r="P388" s="146"/>
      <c r="Q388" s="146"/>
      <c r="R388" s="146"/>
      <c r="S388" s="146"/>
      <c r="T388" s="146"/>
      <c r="U388" s="146"/>
      <c r="V388" s="146"/>
      <c r="W388" s="146"/>
      <c r="X388" s="146"/>
      <c r="Y388" s="146"/>
      <c r="Z388" s="146"/>
      <c r="AA388" s="146"/>
    </row>
    <row r="389" spans="1:27" ht="15.75" customHeight="1" x14ac:dyDescent="0.25">
      <c r="A389" s="146"/>
      <c r="B389" s="146"/>
      <c r="C389" s="146"/>
      <c r="D389" s="146"/>
      <c r="E389" s="146"/>
      <c r="F389" s="146"/>
      <c r="G389" s="146"/>
      <c r="H389" s="146"/>
      <c r="I389" s="146"/>
      <c r="J389" s="146"/>
      <c r="K389" s="146"/>
      <c r="L389" s="146"/>
      <c r="M389" s="146"/>
      <c r="N389" s="146"/>
      <c r="O389" s="146"/>
      <c r="P389" s="146"/>
      <c r="Q389" s="146"/>
      <c r="R389" s="146"/>
      <c r="S389" s="146"/>
      <c r="T389" s="146"/>
      <c r="U389" s="146"/>
      <c r="V389" s="146"/>
      <c r="W389" s="146"/>
      <c r="X389" s="146"/>
      <c r="Y389" s="146"/>
      <c r="Z389" s="146"/>
      <c r="AA389" s="146"/>
    </row>
    <row r="390" spans="1:27" ht="15.75" customHeight="1" x14ac:dyDescent="0.25">
      <c r="A390" s="146"/>
      <c r="B390" s="146"/>
      <c r="C390" s="146"/>
      <c r="D390" s="146"/>
      <c r="E390" s="146"/>
      <c r="F390" s="146"/>
      <c r="G390" s="146"/>
      <c r="H390" s="146"/>
      <c r="I390" s="146"/>
      <c r="J390" s="146"/>
      <c r="K390" s="146"/>
      <c r="L390" s="146"/>
      <c r="M390" s="146"/>
      <c r="N390" s="146"/>
      <c r="O390" s="146"/>
      <c r="P390" s="146"/>
      <c r="Q390" s="146"/>
      <c r="R390" s="146"/>
      <c r="S390" s="146"/>
      <c r="T390" s="146"/>
      <c r="U390" s="146"/>
      <c r="V390" s="146"/>
      <c r="W390" s="146"/>
      <c r="X390" s="146"/>
      <c r="Y390" s="146"/>
      <c r="Z390" s="146"/>
      <c r="AA390" s="146"/>
    </row>
    <row r="391" spans="1:27" ht="15.75" customHeight="1" x14ac:dyDescent="0.25">
      <c r="A391" s="146"/>
      <c r="B391" s="146"/>
      <c r="C391" s="146"/>
      <c r="D391" s="146"/>
      <c r="E391" s="146"/>
      <c r="F391" s="146"/>
      <c r="G391" s="146"/>
      <c r="H391" s="146"/>
      <c r="I391" s="146"/>
      <c r="J391" s="146"/>
      <c r="K391" s="146"/>
      <c r="L391" s="146"/>
      <c r="M391" s="146"/>
      <c r="N391" s="146"/>
      <c r="O391" s="146"/>
      <c r="P391" s="146"/>
      <c r="Q391" s="146"/>
      <c r="R391" s="146"/>
      <c r="S391" s="146"/>
      <c r="T391" s="146"/>
      <c r="U391" s="146"/>
      <c r="V391" s="146"/>
      <c r="W391" s="146"/>
      <c r="X391" s="146"/>
      <c r="Y391" s="146"/>
      <c r="Z391" s="146"/>
      <c r="AA391" s="146"/>
    </row>
    <row r="392" spans="1:27" ht="15.75" customHeight="1" x14ac:dyDescent="0.25">
      <c r="A392" s="146"/>
      <c r="B392" s="146"/>
      <c r="C392" s="146"/>
      <c r="D392" s="146"/>
      <c r="E392" s="146"/>
      <c r="F392" s="146"/>
      <c r="G392" s="146"/>
      <c r="H392" s="146"/>
      <c r="I392" s="146"/>
      <c r="J392" s="146"/>
      <c r="K392" s="146"/>
      <c r="L392" s="146"/>
      <c r="M392" s="146"/>
      <c r="N392" s="146"/>
      <c r="O392" s="146"/>
      <c r="P392" s="146"/>
      <c r="Q392" s="146"/>
      <c r="R392" s="146"/>
      <c r="S392" s="146"/>
      <c r="T392" s="146"/>
      <c r="U392" s="146"/>
      <c r="V392" s="146"/>
      <c r="W392" s="146"/>
      <c r="X392" s="146"/>
      <c r="Y392" s="146"/>
      <c r="Z392" s="146"/>
      <c r="AA392" s="146"/>
    </row>
    <row r="393" spans="1:27" ht="15.75" customHeight="1" x14ac:dyDescent="0.25">
      <c r="A393" s="146"/>
      <c r="B393" s="146"/>
      <c r="C393" s="146"/>
      <c r="D393" s="146"/>
      <c r="E393" s="146"/>
      <c r="F393" s="146"/>
      <c r="G393" s="146"/>
      <c r="H393" s="146"/>
      <c r="I393" s="146"/>
      <c r="J393" s="146"/>
      <c r="K393" s="146"/>
      <c r="L393" s="146"/>
      <c r="M393" s="146"/>
      <c r="N393" s="146"/>
      <c r="O393" s="146"/>
      <c r="P393" s="146"/>
      <c r="Q393" s="146"/>
      <c r="R393" s="146"/>
      <c r="S393" s="146"/>
      <c r="T393" s="146"/>
      <c r="U393" s="146"/>
      <c r="V393" s="146"/>
      <c r="W393" s="146"/>
      <c r="X393" s="146"/>
      <c r="Y393" s="146"/>
      <c r="Z393" s="146"/>
      <c r="AA393" s="146"/>
    </row>
    <row r="394" spans="1:27" ht="15.75" customHeight="1" x14ac:dyDescent="0.25">
      <c r="A394" s="146"/>
      <c r="B394" s="146"/>
      <c r="C394" s="146"/>
      <c r="D394" s="146"/>
      <c r="E394" s="146"/>
      <c r="F394" s="146"/>
      <c r="G394" s="146"/>
      <c r="H394" s="146"/>
      <c r="I394" s="146"/>
      <c r="J394" s="146"/>
      <c r="K394" s="146"/>
      <c r="L394" s="146"/>
      <c r="M394" s="146"/>
      <c r="N394" s="146"/>
      <c r="O394" s="146"/>
      <c r="P394" s="146"/>
      <c r="Q394" s="146"/>
      <c r="R394" s="146"/>
      <c r="S394" s="146"/>
      <c r="T394" s="146"/>
      <c r="U394" s="146"/>
      <c r="V394" s="146"/>
      <c r="W394" s="146"/>
      <c r="X394" s="146"/>
      <c r="Y394" s="146"/>
      <c r="Z394" s="146"/>
      <c r="AA394" s="146"/>
    </row>
    <row r="395" spans="1:27" ht="15.75" customHeight="1" x14ac:dyDescent="0.25">
      <c r="A395" s="146"/>
      <c r="B395" s="146"/>
      <c r="C395" s="146"/>
      <c r="D395" s="146"/>
      <c r="E395" s="146"/>
      <c r="F395" s="146"/>
      <c r="G395" s="146"/>
      <c r="H395" s="146"/>
      <c r="I395" s="146"/>
      <c r="J395" s="146"/>
      <c r="K395" s="146"/>
      <c r="L395" s="146"/>
      <c r="M395" s="146"/>
      <c r="N395" s="146"/>
      <c r="O395" s="146"/>
      <c r="P395" s="146"/>
      <c r="Q395" s="146"/>
      <c r="R395" s="146"/>
      <c r="S395" s="146"/>
      <c r="T395" s="146"/>
      <c r="U395" s="146"/>
      <c r="V395" s="146"/>
      <c r="W395" s="146"/>
      <c r="X395" s="146"/>
      <c r="Y395" s="146"/>
      <c r="Z395" s="146"/>
      <c r="AA395" s="146"/>
    </row>
    <row r="396" spans="1:27" ht="15.75" customHeight="1" x14ac:dyDescent="0.25">
      <c r="A396" s="146"/>
      <c r="B396" s="146"/>
      <c r="C396" s="146"/>
      <c r="D396" s="146"/>
      <c r="E396" s="146"/>
      <c r="F396" s="146"/>
      <c r="G396" s="146"/>
      <c r="H396" s="146"/>
      <c r="I396" s="146"/>
      <c r="J396" s="146"/>
      <c r="K396" s="146"/>
      <c r="L396" s="146"/>
      <c r="M396" s="146"/>
      <c r="N396" s="146"/>
      <c r="O396" s="146"/>
      <c r="P396" s="146"/>
      <c r="Q396" s="146"/>
      <c r="R396" s="146"/>
      <c r="S396" s="146"/>
      <c r="T396" s="146"/>
      <c r="U396" s="146"/>
      <c r="V396" s="146"/>
      <c r="W396" s="146"/>
      <c r="X396" s="146"/>
      <c r="Y396" s="146"/>
      <c r="Z396" s="146"/>
      <c r="AA396" s="146"/>
    </row>
    <row r="397" spans="1:27" ht="15.75" customHeight="1" x14ac:dyDescent="0.25">
      <c r="A397" s="146"/>
      <c r="B397" s="146"/>
      <c r="C397" s="146"/>
      <c r="D397" s="146"/>
      <c r="E397" s="146"/>
      <c r="F397" s="146"/>
      <c r="G397" s="146"/>
      <c r="H397" s="146"/>
      <c r="I397" s="146"/>
      <c r="J397" s="146"/>
      <c r="K397" s="146"/>
      <c r="L397" s="146"/>
      <c r="M397" s="146"/>
      <c r="N397" s="146"/>
      <c r="O397" s="146"/>
      <c r="P397" s="146"/>
      <c r="Q397" s="146"/>
      <c r="R397" s="146"/>
      <c r="S397" s="146"/>
      <c r="T397" s="146"/>
      <c r="U397" s="146"/>
      <c r="V397" s="146"/>
      <c r="W397" s="146"/>
      <c r="X397" s="146"/>
      <c r="Y397" s="146"/>
      <c r="Z397" s="146"/>
      <c r="AA397" s="146"/>
    </row>
    <row r="398" spans="1:27" ht="15.75" customHeight="1" x14ac:dyDescent="0.25">
      <c r="A398" s="146"/>
      <c r="B398" s="146"/>
      <c r="C398" s="146"/>
      <c r="D398" s="146"/>
      <c r="E398" s="146"/>
      <c r="F398" s="146"/>
      <c r="G398" s="146"/>
      <c r="H398" s="146"/>
      <c r="I398" s="146"/>
      <c r="J398" s="146"/>
      <c r="K398" s="146"/>
      <c r="L398" s="146"/>
      <c r="M398" s="146"/>
      <c r="N398" s="146"/>
      <c r="O398" s="146"/>
      <c r="P398" s="146"/>
      <c r="Q398" s="146"/>
      <c r="R398" s="146"/>
      <c r="S398" s="146"/>
      <c r="T398" s="146"/>
      <c r="U398" s="146"/>
      <c r="V398" s="146"/>
      <c r="W398" s="146"/>
      <c r="X398" s="146"/>
      <c r="Y398" s="146"/>
      <c r="Z398" s="146"/>
      <c r="AA398" s="146"/>
    </row>
    <row r="399" spans="1:27" ht="15.75" customHeight="1" x14ac:dyDescent="0.25">
      <c r="A399" s="146"/>
      <c r="B399" s="146"/>
      <c r="C399" s="146"/>
      <c r="D399" s="146"/>
      <c r="E399" s="146"/>
      <c r="F399" s="146"/>
      <c r="G399" s="146"/>
      <c r="H399" s="146"/>
      <c r="I399" s="146"/>
      <c r="J399" s="146"/>
      <c r="K399" s="146"/>
      <c r="L399" s="146"/>
      <c r="M399" s="146"/>
      <c r="N399" s="146"/>
      <c r="O399" s="146"/>
      <c r="P399" s="146"/>
      <c r="Q399" s="146"/>
      <c r="R399" s="146"/>
      <c r="S399" s="146"/>
      <c r="T399" s="146"/>
      <c r="U399" s="146"/>
      <c r="V399" s="146"/>
      <c r="W399" s="146"/>
      <c r="X399" s="146"/>
      <c r="Y399" s="146"/>
      <c r="Z399" s="146"/>
      <c r="AA399" s="146"/>
    </row>
    <row r="400" spans="1:27" ht="15.75" customHeight="1" x14ac:dyDescent="0.25">
      <c r="A400" s="146"/>
      <c r="B400" s="146"/>
      <c r="C400" s="146"/>
      <c r="D400" s="146"/>
      <c r="E400" s="146"/>
      <c r="F400" s="146"/>
      <c r="G400" s="146"/>
      <c r="H400" s="146"/>
      <c r="I400" s="146"/>
      <c r="J400" s="146"/>
      <c r="K400" s="146"/>
      <c r="L400" s="146"/>
      <c r="M400" s="146"/>
      <c r="N400" s="146"/>
      <c r="O400" s="146"/>
      <c r="P400" s="146"/>
      <c r="Q400" s="146"/>
      <c r="R400" s="146"/>
      <c r="S400" s="146"/>
      <c r="T400" s="146"/>
      <c r="U400" s="146"/>
      <c r="V400" s="146"/>
      <c r="W400" s="146"/>
      <c r="X400" s="146"/>
      <c r="Y400" s="146"/>
      <c r="Z400" s="146"/>
      <c r="AA400" s="146"/>
    </row>
    <row r="401" spans="1:27" ht="15.75" customHeight="1" x14ac:dyDescent="0.25">
      <c r="A401" s="146"/>
      <c r="B401" s="146"/>
      <c r="C401" s="146"/>
      <c r="D401" s="146"/>
      <c r="E401" s="146"/>
      <c r="F401" s="146"/>
      <c r="G401" s="146"/>
      <c r="H401" s="146"/>
      <c r="I401" s="146"/>
      <c r="J401" s="146"/>
      <c r="K401" s="146"/>
      <c r="L401" s="146"/>
      <c r="M401" s="146"/>
      <c r="N401" s="146"/>
      <c r="O401" s="146"/>
      <c r="P401" s="146"/>
      <c r="Q401" s="146"/>
      <c r="R401" s="146"/>
      <c r="S401" s="146"/>
      <c r="T401" s="146"/>
      <c r="U401" s="146"/>
      <c r="V401" s="146"/>
      <c r="W401" s="146"/>
      <c r="X401" s="146"/>
      <c r="Y401" s="146"/>
      <c r="Z401" s="146"/>
      <c r="AA401" s="146"/>
    </row>
    <row r="402" spans="1:27" ht="15.75" customHeight="1" x14ac:dyDescent="0.25">
      <c r="A402" s="146"/>
      <c r="B402" s="146"/>
      <c r="C402" s="146"/>
      <c r="D402" s="146"/>
      <c r="E402" s="146"/>
      <c r="F402" s="146"/>
      <c r="G402" s="146"/>
      <c r="H402" s="146"/>
      <c r="I402" s="146"/>
      <c r="J402" s="146"/>
      <c r="K402" s="146"/>
      <c r="L402" s="146"/>
      <c r="M402" s="146"/>
      <c r="N402" s="146"/>
      <c r="O402" s="146"/>
      <c r="P402" s="146"/>
      <c r="Q402" s="146"/>
      <c r="R402" s="146"/>
      <c r="S402" s="146"/>
      <c r="T402" s="146"/>
      <c r="U402" s="146"/>
      <c r="V402" s="146"/>
      <c r="W402" s="146"/>
      <c r="X402" s="146"/>
      <c r="Y402" s="146"/>
      <c r="Z402" s="146"/>
      <c r="AA402" s="146"/>
    </row>
    <row r="403" spans="1:27" ht="15.75" customHeight="1" x14ac:dyDescent="0.25">
      <c r="A403" s="146"/>
      <c r="B403" s="146"/>
      <c r="C403" s="146"/>
      <c r="D403" s="146"/>
      <c r="E403" s="146"/>
      <c r="F403" s="146"/>
      <c r="G403" s="146"/>
      <c r="H403" s="146"/>
      <c r="I403" s="146"/>
      <c r="J403" s="146"/>
      <c r="K403" s="146"/>
      <c r="L403" s="146"/>
      <c r="M403" s="146"/>
      <c r="N403" s="146"/>
      <c r="O403" s="146"/>
      <c r="P403" s="146"/>
      <c r="Q403" s="146"/>
      <c r="R403" s="146"/>
      <c r="S403" s="146"/>
      <c r="T403" s="146"/>
      <c r="U403" s="146"/>
      <c r="V403" s="146"/>
      <c r="W403" s="146"/>
      <c r="X403" s="146"/>
      <c r="Y403" s="146"/>
      <c r="Z403" s="146"/>
      <c r="AA403" s="146"/>
    </row>
    <row r="404" spans="1:27" ht="15.75" customHeight="1" x14ac:dyDescent="0.25">
      <c r="A404" s="146"/>
      <c r="B404" s="146"/>
      <c r="C404" s="146"/>
      <c r="D404" s="146"/>
      <c r="E404" s="146"/>
      <c r="F404" s="146"/>
      <c r="G404" s="146"/>
      <c r="H404" s="146"/>
      <c r="I404" s="146"/>
      <c r="J404" s="146"/>
      <c r="K404" s="146"/>
      <c r="L404" s="146"/>
      <c r="M404" s="146"/>
      <c r="N404" s="146"/>
      <c r="O404" s="146"/>
      <c r="P404" s="146"/>
      <c r="Q404" s="146"/>
      <c r="R404" s="146"/>
      <c r="S404" s="146"/>
      <c r="T404" s="146"/>
      <c r="U404" s="146"/>
      <c r="V404" s="146"/>
      <c r="W404" s="146"/>
      <c r="X404" s="146"/>
      <c r="Y404" s="146"/>
      <c r="Z404" s="146"/>
      <c r="AA404" s="146"/>
    </row>
    <row r="405" spans="1:27" ht="15.75" customHeight="1" x14ac:dyDescent="0.25">
      <c r="A405" s="146"/>
      <c r="B405" s="146"/>
      <c r="C405" s="146"/>
      <c r="D405" s="146"/>
      <c r="E405" s="146"/>
      <c r="F405" s="146"/>
      <c r="G405" s="146"/>
      <c r="H405" s="146"/>
      <c r="I405" s="146"/>
      <c r="J405" s="146"/>
      <c r="K405" s="146"/>
      <c r="L405" s="146"/>
      <c r="M405" s="146"/>
      <c r="N405" s="146"/>
      <c r="O405" s="146"/>
      <c r="P405" s="146"/>
      <c r="Q405" s="146"/>
      <c r="R405" s="146"/>
      <c r="S405" s="146"/>
      <c r="T405" s="146"/>
      <c r="U405" s="146"/>
      <c r="V405" s="146"/>
      <c r="W405" s="146"/>
      <c r="X405" s="146"/>
      <c r="Y405" s="146"/>
      <c r="Z405" s="146"/>
      <c r="AA405" s="146"/>
    </row>
    <row r="406" spans="1:27" ht="15.75" customHeight="1" x14ac:dyDescent="0.25">
      <c r="A406" s="146"/>
      <c r="B406" s="146"/>
      <c r="C406" s="146"/>
      <c r="D406" s="146"/>
      <c r="E406" s="146"/>
      <c r="F406" s="146"/>
      <c r="G406" s="146"/>
      <c r="H406" s="146"/>
      <c r="I406" s="146"/>
      <c r="J406" s="146"/>
      <c r="K406" s="146"/>
      <c r="L406" s="146"/>
      <c r="M406" s="146"/>
      <c r="N406" s="146"/>
      <c r="O406" s="146"/>
      <c r="P406" s="146"/>
      <c r="Q406" s="146"/>
      <c r="R406" s="146"/>
      <c r="S406" s="146"/>
      <c r="T406" s="146"/>
      <c r="U406" s="146"/>
      <c r="V406" s="146"/>
      <c r="W406" s="146"/>
      <c r="X406" s="146"/>
      <c r="Y406" s="146"/>
      <c r="Z406" s="146"/>
      <c r="AA406" s="146"/>
    </row>
    <row r="407" spans="1:27" ht="15.75" customHeight="1" x14ac:dyDescent="0.25">
      <c r="A407" s="146"/>
      <c r="B407" s="146"/>
      <c r="C407" s="146"/>
      <c r="D407" s="146"/>
      <c r="E407" s="146"/>
      <c r="F407" s="146"/>
      <c r="G407" s="146"/>
      <c r="H407" s="146"/>
      <c r="I407" s="146"/>
      <c r="J407" s="146"/>
      <c r="K407" s="146"/>
      <c r="L407" s="146"/>
      <c r="M407" s="146"/>
      <c r="N407" s="146"/>
      <c r="O407" s="146"/>
      <c r="P407" s="146"/>
      <c r="Q407" s="146"/>
      <c r="R407" s="146"/>
      <c r="S407" s="146"/>
      <c r="T407" s="146"/>
      <c r="U407" s="146"/>
      <c r="V407" s="146"/>
      <c r="W407" s="146"/>
      <c r="X407" s="146"/>
      <c r="Y407" s="146"/>
      <c r="Z407" s="146"/>
      <c r="AA407" s="146"/>
    </row>
    <row r="408" spans="1:27" ht="15.75" customHeight="1" x14ac:dyDescent="0.25">
      <c r="A408" s="146"/>
      <c r="B408" s="146"/>
      <c r="C408" s="146"/>
      <c r="D408" s="146"/>
      <c r="E408" s="146"/>
      <c r="F408" s="146"/>
      <c r="G408" s="146"/>
      <c r="H408" s="146"/>
      <c r="I408" s="146"/>
      <c r="J408" s="146"/>
      <c r="K408" s="146"/>
      <c r="L408" s="146"/>
      <c r="M408" s="146"/>
      <c r="N408" s="146"/>
      <c r="O408" s="146"/>
      <c r="P408" s="146"/>
      <c r="Q408" s="146"/>
      <c r="R408" s="146"/>
      <c r="S408" s="146"/>
      <c r="T408" s="146"/>
      <c r="U408" s="146"/>
      <c r="V408" s="146"/>
      <c r="W408" s="146"/>
      <c r="X408" s="146"/>
      <c r="Y408" s="146"/>
      <c r="Z408" s="146"/>
      <c r="AA408" s="146"/>
    </row>
    <row r="409" spans="1:27" ht="15.75" customHeight="1" x14ac:dyDescent="0.25">
      <c r="A409" s="146"/>
      <c r="B409" s="146"/>
      <c r="C409" s="146"/>
      <c r="D409" s="146"/>
      <c r="E409" s="146"/>
      <c r="F409" s="146"/>
      <c r="G409" s="146"/>
      <c r="H409" s="146"/>
      <c r="I409" s="146"/>
      <c r="J409" s="146"/>
      <c r="K409" s="146"/>
      <c r="L409" s="146"/>
      <c r="M409" s="146"/>
      <c r="N409" s="146"/>
      <c r="O409" s="146"/>
      <c r="P409" s="146"/>
      <c r="Q409" s="146"/>
      <c r="R409" s="146"/>
      <c r="S409" s="146"/>
      <c r="T409" s="146"/>
      <c r="U409" s="146"/>
      <c r="V409" s="146"/>
      <c r="W409" s="146"/>
      <c r="X409" s="146"/>
      <c r="Y409" s="146"/>
      <c r="Z409" s="146"/>
      <c r="AA409" s="146"/>
    </row>
    <row r="410" spans="1:27" ht="15.75" customHeight="1" x14ac:dyDescent="0.25">
      <c r="A410" s="146"/>
      <c r="B410" s="146"/>
      <c r="C410" s="146"/>
      <c r="D410" s="146"/>
      <c r="E410" s="146"/>
      <c r="F410" s="146"/>
      <c r="G410" s="146"/>
      <c r="H410" s="146"/>
      <c r="I410" s="146"/>
      <c r="J410" s="146"/>
      <c r="K410" s="146"/>
      <c r="L410" s="146"/>
      <c r="M410" s="146"/>
      <c r="N410" s="146"/>
      <c r="O410" s="146"/>
      <c r="P410" s="146"/>
      <c r="Q410" s="146"/>
      <c r="R410" s="146"/>
      <c r="S410" s="146"/>
      <c r="T410" s="146"/>
      <c r="U410" s="146"/>
      <c r="V410" s="146"/>
      <c r="W410" s="146"/>
      <c r="X410" s="146"/>
      <c r="Y410" s="146"/>
      <c r="Z410" s="146"/>
      <c r="AA410" s="146"/>
    </row>
    <row r="411" spans="1:27" ht="15.75" customHeight="1" x14ac:dyDescent="0.25">
      <c r="A411" s="146"/>
      <c r="B411" s="146"/>
      <c r="C411" s="146"/>
      <c r="D411" s="146"/>
      <c r="E411" s="146"/>
      <c r="F411" s="146"/>
      <c r="G411" s="146"/>
      <c r="H411" s="146"/>
      <c r="I411" s="146"/>
      <c r="J411" s="146"/>
      <c r="K411" s="146"/>
      <c r="L411" s="146"/>
      <c r="M411" s="146"/>
      <c r="N411" s="146"/>
      <c r="O411" s="146"/>
      <c r="P411" s="146"/>
      <c r="Q411" s="146"/>
      <c r="R411" s="146"/>
      <c r="S411" s="146"/>
      <c r="T411" s="146"/>
      <c r="U411" s="146"/>
      <c r="V411" s="146"/>
      <c r="W411" s="146"/>
      <c r="X411" s="146"/>
      <c r="Y411" s="146"/>
      <c r="Z411" s="146"/>
      <c r="AA411" s="146"/>
    </row>
    <row r="412" spans="1:27" ht="15.75" customHeight="1" x14ac:dyDescent="0.25">
      <c r="A412" s="146"/>
      <c r="B412" s="146"/>
      <c r="C412" s="146"/>
      <c r="D412" s="146"/>
      <c r="E412" s="146"/>
      <c r="F412" s="146"/>
      <c r="G412" s="146"/>
      <c r="H412" s="146"/>
      <c r="I412" s="146"/>
      <c r="J412" s="146"/>
      <c r="K412" s="146"/>
      <c r="L412" s="146"/>
      <c r="M412" s="146"/>
      <c r="N412" s="146"/>
      <c r="O412" s="146"/>
      <c r="P412" s="146"/>
      <c r="Q412" s="146"/>
      <c r="R412" s="146"/>
      <c r="S412" s="146"/>
      <c r="T412" s="146"/>
      <c r="U412" s="146"/>
      <c r="V412" s="146"/>
      <c r="W412" s="146"/>
      <c r="X412" s="146"/>
      <c r="Y412" s="146"/>
      <c r="Z412" s="146"/>
      <c r="AA412" s="146"/>
    </row>
    <row r="413" spans="1:27" ht="15.75" customHeight="1" x14ac:dyDescent="0.25">
      <c r="A413" s="146"/>
      <c r="B413" s="146"/>
      <c r="C413" s="146"/>
      <c r="D413" s="146"/>
      <c r="E413" s="146"/>
      <c r="F413" s="146"/>
      <c r="G413" s="146"/>
      <c r="H413" s="146"/>
      <c r="I413" s="146"/>
      <c r="J413" s="146"/>
      <c r="K413" s="146"/>
      <c r="L413" s="146"/>
      <c r="M413" s="146"/>
      <c r="N413" s="146"/>
      <c r="O413" s="146"/>
      <c r="P413" s="146"/>
      <c r="Q413" s="146"/>
      <c r="R413" s="146"/>
      <c r="S413" s="146"/>
      <c r="T413" s="146"/>
      <c r="U413" s="146"/>
      <c r="V413" s="146"/>
      <c r="W413" s="146"/>
      <c r="X413" s="146"/>
      <c r="Y413" s="146"/>
      <c r="Z413" s="146"/>
      <c r="AA413" s="146"/>
    </row>
    <row r="414" spans="1:27" ht="15.75" customHeight="1" x14ac:dyDescent="0.25">
      <c r="A414" s="146"/>
      <c r="B414" s="146"/>
      <c r="C414" s="146"/>
      <c r="D414" s="146"/>
      <c r="E414" s="146"/>
      <c r="F414" s="146"/>
      <c r="G414" s="146"/>
      <c r="H414" s="146"/>
      <c r="I414" s="146"/>
      <c r="J414" s="146"/>
      <c r="K414" s="146"/>
      <c r="L414" s="146"/>
      <c r="M414" s="146"/>
      <c r="N414" s="146"/>
      <c r="O414" s="146"/>
      <c r="P414" s="146"/>
      <c r="Q414" s="146"/>
      <c r="R414" s="146"/>
      <c r="S414" s="146"/>
      <c r="T414" s="146"/>
      <c r="U414" s="146"/>
      <c r="V414" s="146"/>
      <c r="W414" s="146"/>
      <c r="X414" s="146"/>
      <c r="Y414" s="146"/>
      <c r="Z414" s="146"/>
      <c r="AA414" s="146"/>
    </row>
    <row r="415" spans="1:27" ht="15.75" customHeight="1" x14ac:dyDescent="0.25">
      <c r="A415" s="146"/>
      <c r="B415" s="146"/>
      <c r="C415" s="146"/>
      <c r="D415" s="146"/>
      <c r="E415" s="146"/>
      <c r="F415" s="146"/>
      <c r="G415" s="146"/>
      <c r="H415" s="146"/>
      <c r="I415" s="146"/>
      <c r="J415" s="146"/>
      <c r="K415" s="146"/>
      <c r="L415" s="146"/>
      <c r="M415" s="146"/>
      <c r="N415" s="146"/>
      <c r="O415" s="146"/>
      <c r="P415" s="146"/>
      <c r="Q415" s="146"/>
      <c r="R415" s="146"/>
      <c r="S415" s="146"/>
      <c r="T415" s="146"/>
      <c r="U415" s="146"/>
      <c r="V415" s="146"/>
      <c r="W415" s="146"/>
      <c r="X415" s="146"/>
      <c r="Y415" s="146"/>
      <c r="Z415" s="146"/>
      <c r="AA415" s="146"/>
    </row>
    <row r="416" spans="1:27" ht="15.75" customHeight="1" x14ac:dyDescent="0.25">
      <c r="A416" s="146"/>
      <c r="B416" s="146"/>
      <c r="C416" s="146"/>
      <c r="D416" s="146"/>
      <c r="E416" s="146"/>
      <c r="F416" s="146"/>
      <c r="G416" s="146"/>
      <c r="H416" s="146"/>
      <c r="I416" s="146"/>
      <c r="J416" s="146"/>
      <c r="K416" s="146"/>
      <c r="L416" s="146"/>
      <c r="M416" s="146"/>
      <c r="N416" s="146"/>
      <c r="O416" s="146"/>
      <c r="P416" s="146"/>
      <c r="Q416" s="146"/>
      <c r="R416" s="146"/>
      <c r="S416" s="146"/>
      <c r="T416" s="146"/>
      <c r="U416" s="146"/>
      <c r="V416" s="146"/>
      <c r="W416" s="146"/>
      <c r="X416" s="146"/>
      <c r="Y416" s="146"/>
      <c r="Z416" s="146"/>
      <c r="AA416" s="146"/>
    </row>
    <row r="417" spans="1:27" ht="15.75" customHeight="1" x14ac:dyDescent="0.25">
      <c r="A417" s="146"/>
      <c r="B417" s="146"/>
      <c r="C417" s="146"/>
      <c r="D417" s="146"/>
      <c r="E417" s="146"/>
      <c r="F417" s="146"/>
      <c r="G417" s="146"/>
      <c r="H417" s="146"/>
      <c r="I417" s="146"/>
      <c r="J417" s="146"/>
      <c r="K417" s="146"/>
      <c r="L417" s="146"/>
      <c r="M417" s="146"/>
      <c r="N417" s="146"/>
      <c r="O417" s="146"/>
      <c r="P417" s="146"/>
      <c r="Q417" s="146"/>
      <c r="R417" s="146"/>
      <c r="S417" s="146"/>
      <c r="T417" s="146"/>
      <c r="U417" s="146"/>
      <c r="V417" s="146"/>
      <c r="W417" s="146"/>
      <c r="X417" s="146"/>
      <c r="Y417" s="146"/>
      <c r="Z417" s="146"/>
      <c r="AA417" s="146"/>
    </row>
    <row r="418" spans="1:27" ht="15.75" customHeight="1" x14ac:dyDescent="0.25">
      <c r="A418" s="146"/>
      <c r="B418" s="146"/>
      <c r="C418" s="146"/>
      <c r="D418" s="146"/>
      <c r="E418" s="146"/>
      <c r="F418" s="146"/>
      <c r="G418" s="146"/>
      <c r="H418" s="146"/>
      <c r="I418" s="146"/>
      <c r="J418" s="146"/>
      <c r="K418" s="146"/>
      <c r="L418" s="146"/>
      <c r="M418" s="146"/>
      <c r="N418" s="146"/>
      <c r="O418" s="146"/>
      <c r="P418" s="146"/>
      <c r="Q418" s="146"/>
      <c r="R418" s="146"/>
      <c r="S418" s="146"/>
      <c r="T418" s="146"/>
      <c r="U418" s="146"/>
      <c r="V418" s="146"/>
      <c r="W418" s="146"/>
      <c r="X418" s="146"/>
      <c r="Y418" s="146"/>
      <c r="Z418" s="146"/>
      <c r="AA418" s="146"/>
    </row>
    <row r="419" spans="1:27" ht="15.75" customHeight="1" x14ac:dyDescent="0.25">
      <c r="A419" s="146"/>
      <c r="B419" s="146"/>
      <c r="C419" s="146"/>
      <c r="D419" s="146"/>
      <c r="E419" s="146"/>
      <c r="F419" s="146"/>
      <c r="G419" s="146"/>
      <c r="H419" s="146"/>
      <c r="I419" s="146"/>
      <c r="J419" s="146"/>
      <c r="K419" s="146"/>
      <c r="L419" s="146"/>
      <c r="M419" s="146"/>
      <c r="N419" s="146"/>
      <c r="O419" s="146"/>
      <c r="P419" s="146"/>
      <c r="Q419" s="146"/>
      <c r="R419" s="146"/>
      <c r="S419" s="146"/>
      <c r="T419" s="146"/>
      <c r="U419" s="146"/>
      <c r="V419" s="146"/>
      <c r="W419" s="146"/>
      <c r="X419" s="146"/>
      <c r="Y419" s="146"/>
      <c r="Z419" s="146"/>
      <c r="AA419" s="146"/>
    </row>
    <row r="420" spans="1:27" ht="15.75" customHeight="1" x14ac:dyDescent="0.25">
      <c r="A420" s="146"/>
      <c r="B420" s="146"/>
      <c r="C420" s="146"/>
      <c r="D420" s="146"/>
      <c r="E420" s="146"/>
      <c r="F420" s="146"/>
      <c r="G420" s="146"/>
      <c r="H420" s="146"/>
      <c r="I420" s="146"/>
      <c r="J420" s="146"/>
      <c r="K420" s="146"/>
      <c r="L420" s="146"/>
      <c r="M420" s="146"/>
      <c r="N420" s="146"/>
      <c r="O420" s="146"/>
      <c r="P420" s="146"/>
      <c r="Q420" s="146"/>
      <c r="R420" s="146"/>
      <c r="S420" s="146"/>
      <c r="T420" s="146"/>
      <c r="U420" s="146"/>
      <c r="V420" s="146"/>
      <c r="W420" s="146"/>
      <c r="X420" s="146"/>
      <c r="Y420" s="146"/>
      <c r="Z420" s="146"/>
      <c r="AA420" s="146"/>
    </row>
    <row r="421" spans="1:27" ht="15.75" customHeight="1" x14ac:dyDescent="0.25">
      <c r="A421" s="146"/>
      <c r="B421" s="146"/>
      <c r="C421" s="146"/>
      <c r="D421" s="146"/>
      <c r="E421" s="146"/>
      <c r="F421" s="146"/>
      <c r="G421" s="146"/>
      <c r="H421" s="146"/>
      <c r="I421" s="146"/>
      <c r="J421" s="146"/>
      <c r="K421" s="146"/>
      <c r="L421" s="146"/>
      <c r="M421" s="146"/>
      <c r="N421" s="146"/>
      <c r="O421" s="146"/>
      <c r="P421" s="146"/>
      <c r="Q421" s="146"/>
      <c r="R421" s="146"/>
      <c r="S421" s="146"/>
      <c r="T421" s="146"/>
      <c r="U421" s="146"/>
      <c r="V421" s="146"/>
      <c r="W421" s="146"/>
      <c r="X421" s="146"/>
      <c r="Y421" s="146"/>
      <c r="Z421" s="146"/>
      <c r="AA421" s="146"/>
    </row>
    <row r="422" spans="1:27" ht="15.75" customHeight="1" x14ac:dyDescent="0.25">
      <c r="A422" s="146"/>
      <c r="B422" s="146"/>
      <c r="C422" s="146"/>
      <c r="D422" s="146"/>
      <c r="E422" s="146"/>
      <c r="F422" s="146"/>
      <c r="G422" s="146"/>
      <c r="H422" s="146"/>
      <c r="I422" s="146"/>
      <c r="J422" s="146"/>
      <c r="K422" s="146"/>
      <c r="L422" s="146"/>
      <c r="M422" s="146"/>
      <c r="N422" s="146"/>
      <c r="O422" s="146"/>
      <c r="P422" s="146"/>
      <c r="Q422" s="146"/>
      <c r="R422" s="146"/>
      <c r="S422" s="146"/>
      <c r="T422" s="146"/>
      <c r="U422" s="146"/>
      <c r="V422" s="146"/>
      <c r="W422" s="146"/>
      <c r="X422" s="146"/>
      <c r="Y422" s="146"/>
      <c r="Z422" s="146"/>
      <c r="AA422" s="146"/>
    </row>
    <row r="423" spans="1:27" ht="15.75" customHeight="1" x14ac:dyDescent="0.25">
      <c r="A423" s="146"/>
      <c r="B423" s="146"/>
      <c r="C423" s="146"/>
      <c r="D423" s="146"/>
      <c r="E423" s="146"/>
      <c r="F423" s="146"/>
      <c r="G423" s="146"/>
      <c r="H423" s="146"/>
      <c r="I423" s="146"/>
      <c r="J423" s="146"/>
      <c r="K423" s="146"/>
      <c r="L423" s="146"/>
      <c r="M423" s="146"/>
      <c r="N423" s="146"/>
      <c r="O423" s="146"/>
      <c r="P423" s="146"/>
      <c r="Q423" s="146"/>
      <c r="R423" s="146"/>
      <c r="S423" s="146"/>
      <c r="T423" s="146"/>
      <c r="U423" s="146"/>
      <c r="V423" s="146"/>
      <c r="W423" s="146"/>
      <c r="X423" s="146"/>
      <c r="Y423" s="146"/>
      <c r="Z423" s="146"/>
      <c r="AA423" s="146"/>
    </row>
    <row r="424" spans="1:27" ht="15.75" customHeight="1" x14ac:dyDescent="0.25">
      <c r="A424" s="146"/>
      <c r="B424" s="146"/>
      <c r="C424" s="146"/>
      <c r="D424" s="146"/>
      <c r="E424" s="146"/>
      <c r="F424" s="146"/>
      <c r="G424" s="146"/>
      <c r="H424" s="146"/>
      <c r="I424" s="146"/>
      <c r="J424" s="146"/>
      <c r="K424" s="146"/>
      <c r="L424" s="146"/>
      <c r="M424" s="146"/>
      <c r="N424" s="146"/>
      <c r="O424" s="146"/>
      <c r="P424" s="146"/>
      <c r="Q424" s="146"/>
      <c r="R424" s="146"/>
      <c r="S424" s="146"/>
      <c r="T424" s="146"/>
      <c r="U424" s="146"/>
      <c r="V424" s="146"/>
      <c r="W424" s="146"/>
      <c r="X424" s="146"/>
      <c r="Y424" s="146"/>
      <c r="Z424" s="146"/>
      <c r="AA424" s="146"/>
    </row>
    <row r="425" spans="1:27" ht="15.75" customHeight="1" x14ac:dyDescent="0.25">
      <c r="A425" s="146"/>
      <c r="B425" s="146"/>
      <c r="C425" s="146"/>
      <c r="D425" s="146"/>
      <c r="E425" s="146"/>
      <c r="F425" s="146"/>
      <c r="G425" s="146"/>
      <c r="H425" s="146"/>
      <c r="I425" s="146"/>
      <c r="J425" s="146"/>
      <c r="K425" s="146"/>
      <c r="L425" s="146"/>
      <c r="M425" s="146"/>
      <c r="N425" s="146"/>
      <c r="O425" s="146"/>
      <c r="P425" s="146"/>
      <c r="Q425" s="146"/>
      <c r="R425" s="146"/>
      <c r="S425" s="146"/>
      <c r="T425" s="146"/>
      <c r="U425" s="146"/>
      <c r="V425" s="146"/>
      <c r="W425" s="146"/>
      <c r="X425" s="146"/>
      <c r="Y425" s="146"/>
      <c r="Z425" s="146"/>
      <c r="AA425" s="146"/>
    </row>
    <row r="426" spans="1:27" ht="15.75" customHeight="1" x14ac:dyDescent="0.25">
      <c r="A426" s="146"/>
      <c r="B426" s="146"/>
      <c r="C426" s="146"/>
      <c r="D426" s="146"/>
      <c r="E426" s="146"/>
      <c r="F426" s="146"/>
      <c r="G426" s="146"/>
      <c r="H426" s="146"/>
      <c r="I426" s="146"/>
      <c r="J426" s="146"/>
      <c r="K426" s="146"/>
      <c r="L426" s="146"/>
      <c r="M426" s="146"/>
      <c r="N426" s="146"/>
      <c r="O426" s="146"/>
      <c r="P426" s="146"/>
      <c r="Q426" s="146"/>
      <c r="R426" s="146"/>
      <c r="S426" s="146"/>
      <c r="T426" s="146"/>
      <c r="U426" s="146"/>
      <c r="V426" s="146"/>
      <c r="W426" s="146"/>
      <c r="X426" s="146"/>
      <c r="Y426" s="146"/>
      <c r="Z426" s="146"/>
      <c r="AA426" s="146"/>
    </row>
    <row r="427" spans="1:27" ht="15.75" customHeight="1" x14ac:dyDescent="0.25">
      <c r="A427" s="146"/>
      <c r="B427" s="146"/>
      <c r="C427" s="146"/>
      <c r="D427" s="146"/>
      <c r="E427" s="146"/>
      <c r="F427" s="146"/>
      <c r="G427" s="146"/>
      <c r="H427" s="146"/>
      <c r="I427" s="146"/>
      <c r="J427" s="146"/>
      <c r="K427" s="146"/>
      <c r="L427" s="146"/>
      <c r="M427" s="146"/>
      <c r="N427" s="146"/>
      <c r="O427" s="146"/>
      <c r="P427" s="146"/>
      <c r="Q427" s="146"/>
      <c r="R427" s="146"/>
      <c r="S427" s="146"/>
      <c r="T427" s="146"/>
      <c r="U427" s="146"/>
      <c r="V427" s="146"/>
      <c r="W427" s="146"/>
      <c r="X427" s="146"/>
      <c r="Y427" s="146"/>
      <c r="Z427" s="146"/>
      <c r="AA427" s="146"/>
    </row>
    <row r="428" spans="1:27" ht="15.75" customHeight="1" x14ac:dyDescent="0.25">
      <c r="A428" s="146"/>
      <c r="B428" s="146"/>
      <c r="C428" s="146"/>
      <c r="D428" s="146"/>
      <c r="E428" s="146"/>
      <c r="F428" s="146"/>
      <c r="G428" s="146"/>
      <c r="H428" s="146"/>
      <c r="I428" s="146"/>
      <c r="J428" s="146"/>
      <c r="K428" s="146"/>
      <c r="L428" s="146"/>
      <c r="M428" s="146"/>
      <c r="N428" s="146"/>
      <c r="O428" s="146"/>
      <c r="P428" s="146"/>
      <c r="Q428" s="146"/>
      <c r="R428" s="146"/>
      <c r="S428" s="146"/>
      <c r="T428" s="146"/>
      <c r="U428" s="146"/>
      <c r="V428" s="146"/>
      <c r="W428" s="146"/>
      <c r="X428" s="146"/>
      <c r="Y428" s="146"/>
      <c r="Z428" s="146"/>
      <c r="AA428" s="146"/>
    </row>
    <row r="429" spans="1:27" ht="15.75" customHeight="1" x14ac:dyDescent="0.25">
      <c r="A429" s="146"/>
      <c r="B429" s="146"/>
      <c r="C429" s="146"/>
      <c r="D429" s="146"/>
      <c r="E429" s="146"/>
      <c r="F429" s="146"/>
      <c r="G429" s="146"/>
      <c r="H429" s="146"/>
      <c r="I429" s="146"/>
      <c r="J429" s="146"/>
      <c r="K429" s="146"/>
      <c r="L429" s="146"/>
      <c r="M429" s="146"/>
      <c r="N429" s="146"/>
      <c r="O429" s="146"/>
      <c r="P429" s="146"/>
      <c r="Q429" s="146"/>
      <c r="R429" s="146"/>
      <c r="S429" s="146"/>
      <c r="T429" s="146"/>
      <c r="U429" s="146"/>
      <c r="V429" s="146"/>
      <c r="W429" s="146"/>
      <c r="X429" s="146"/>
      <c r="Y429" s="146"/>
      <c r="Z429" s="146"/>
      <c r="AA429" s="146"/>
    </row>
    <row r="430" spans="1:27" ht="15.75" customHeight="1" x14ac:dyDescent="0.25">
      <c r="A430" s="146"/>
      <c r="B430" s="146"/>
      <c r="C430" s="146"/>
      <c r="D430" s="146"/>
      <c r="E430" s="146"/>
      <c r="F430" s="146"/>
      <c r="G430" s="146"/>
      <c r="H430" s="146"/>
      <c r="I430" s="146"/>
      <c r="J430" s="146"/>
      <c r="K430" s="146"/>
      <c r="L430" s="146"/>
      <c r="M430" s="146"/>
      <c r="N430" s="146"/>
      <c r="O430" s="146"/>
      <c r="P430" s="146"/>
      <c r="Q430" s="146"/>
      <c r="R430" s="146"/>
      <c r="S430" s="146"/>
      <c r="T430" s="146"/>
      <c r="U430" s="146"/>
      <c r="V430" s="146"/>
      <c r="W430" s="146"/>
      <c r="X430" s="146"/>
      <c r="Y430" s="146"/>
      <c r="Z430" s="146"/>
      <c r="AA430" s="146"/>
    </row>
    <row r="431" spans="1:27" ht="15.75" customHeight="1" x14ac:dyDescent="0.25">
      <c r="A431" s="146"/>
      <c r="B431" s="146"/>
      <c r="C431" s="146"/>
      <c r="D431" s="146"/>
      <c r="E431" s="146"/>
      <c r="F431" s="146"/>
      <c r="G431" s="146"/>
      <c r="H431" s="146"/>
      <c r="I431" s="146"/>
      <c r="J431" s="146"/>
      <c r="K431" s="146"/>
      <c r="L431" s="146"/>
      <c r="M431" s="146"/>
      <c r="N431" s="146"/>
      <c r="O431" s="146"/>
      <c r="P431" s="146"/>
      <c r="Q431" s="146"/>
      <c r="R431" s="146"/>
      <c r="S431" s="146"/>
      <c r="T431" s="146"/>
      <c r="U431" s="146"/>
      <c r="V431" s="146"/>
      <c r="W431" s="146"/>
      <c r="X431" s="146"/>
      <c r="Y431" s="146"/>
      <c r="Z431" s="146"/>
      <c r="AA431" s="146"/>
    </row>
    <row r="432" spans="1:27" ht="15.75" customHeight="1" x14ac:dyDescent="0.25">
      <c r="A432" s="146"/>
      <c r="B432" s="146"/>
      <c r="C432" s="146"/>
      <c r="D432" s="146"/>
      <c r="E432" s="146"/>
      <c r="F432" s="146"/>
      <c r="G432" s="146"/>
      <c r="H432" s="146"/>
      <c r="I432" s="146"/>
      <c r="J432" s="146"/>
      <c r="K432" s="146"/>
      <c r="L432" s="146"/>
      <c r="M432" s="146"/>
      <c r="N432" s="146"/>
      <c r="O432" s="146"/>
      <c r="P432" s="146"/>
      <c r="Q432" s="146"/>
      <c r="R432" s="146"/>
      <c r="S432" s="146"/>
      <c r="T432" s="146"/>
      <c r="U432" s="146"/>
      <c r="V432" s="146"/>
      <c r="W432" s="146"/>
      <c r="X432" s="146"/>
      <c r="Y432" s="146"/>
      <c r="Z432" s="146"/>
      <c r="AA432" s="146"/>
    </row>
    <row r="433" spans="1:27" ht="15.75" customHeight="1" x14ac:dyDescent="0.25">
      <c r="A433" s="146"/>
      <c r="B433" s="146"/>
      <c r="C433" s="146"/>
      <c r="D433" s="146"/>
      <c r="E433" s="146"/>
      <c r="F433" s="146"/>
      <c r="G433" s="146"/>
      <c r="H433" s="146"/>
      <c r="I433" s="146"/>
      <c r="J433" s="146"/>
      <c r="K433" s="146"/>
      <c r="L433" s="146"/>
      <c r="M433" s="146"/>
      <c r="N433" s="146"/>
      <c r="O433" s="146"/>
      <c r="P433" s="146"/>
      <c r="Q433" s="146"/>
      <c r="R433" s="146"/>
      <c r="S433" s="146"/>
      <c r="T433" s="146"/>
      <c r="U433" s="146"/>
      <c r="V433" s="146"/>
      <c r="W433" s="146"/>
      <c r="X433" s="146"/>
      <c r="Y433" s="146"/>
      <c r="Z433" s="146"/>
      <c r="AA433" s="146"/>
    </row>
    <row r="434" spans="1:27" ht="15.75" customHeight="1" x14ac:dyDescent="0.25">
      <c r="A434" s="146"/>
      <c r="B434" s="146"/>
      <c r="C434" s="146"/>
      <c r="D434" s="146"/>
      <c r="E434" s="146"/>
      <c r="F434" s="146"/>
      <c r="G434" s="146"/>
      <c r="H434" s="146"/>
      <c r="I434" s="146"/>
      <c r="J434" s="146"/>
      <c r="K434" s="146"/>
      <c r="L434" s="146"/>
      <c r="M434" s="146"/>
      <c r="N434" s="146"/>
      <c r="O434" s="146"/>
      <c r="P434" s="146"/>
      <c r="Q434" s="146"/>
      <c r="R434" s="146"/>
      <c r="S434" s="146"/>
      <c r="T434" s="146"/>
      <c r="U434" s="146"/>
      <c r="V434" s="146"/>
      <c r="W434" s="146"/>
      <c r="X434" s="146"/>
      <c r="Y434" s="146"/>
      <c r="Z434" s="146"/>
      <c r="AA434" s="146"/>
    </row>
    <row r="435" spans="1:27" ht="15.75" customHeight="1" x14ac:dyDescent="0.25">
      <c r="A435" s="146"/>
      <c r="B435" s="146"/>
      <c r="C435" s="146"/>
      <c r="D435" s="146"/>
      <c r="E435" s="146"/>
      <c r="F435" s="146"/>
      <c r="G435" s="146"/>
      <c r="H435" s="146"/>
      <c r="I435" s="146"/>
      <c r="J435" s="146"/>
      <c r="K435" s="146"/>
      <c r="L435" s="146"/>
      <c r="M435" s="146"/>
      <c r="N435" s="146"/>
      <c r="O435" s="146"/>
      <c r="P435" s="146"/>
      <c r="Q435" s="146"/>
      <c r="R435" s="146"/>
      <c r="S435" s="146"/>
      <c r="T435" s="146"/>
      <c r="U435" s="146"/>
      <c r="V435" s="146"/>
      <c r="W435" s="146"/>
      <c r="X435" s="146"/>
      <c r="Y435" s="146"/>
      <c r="Z435" s="146"/>
      <c r="AA435" s="146"/>
    </row>
    <row r="436" spans="1:27" ht="15.75" customHeight="1" x14ac:dyDescent="0.25">
      <c r="A436" s="146"/>
      <c r="B436" s="146"/>
      <c r="C436" s="146"/>
      <c r="D436" s="146"/>
      <c r="E436" s="146"/>
      <c r="F436" s="146"/>
      <c r="G436" s="146"/>
      <c r="H436" s="146"/>
      <c r="I436" s="146"/>
      <c r="J436" s="146"/>
      <c r="K436" s="146"/>
      <c r="L436" s="146"/>
      <c r="M436" s="146"/>
      <c r="N436" s="146"/>
      <c r="O436" s="146"/>
      <c r="P436" s="146"/>
      <c r="Q436" s="146"/>
      <c r="R436" s="146"/>
      <c r="S436" s="146"/>
      <c r="T436" s="146"/>
      <c r="U436" s="146"/>
      <c r="V436" s="146"/>
      <c r="W436" s="146"/>
      <c r="X436" s="146"/>
      <c r="Y436" s="146"/>
      <c r="Z436" s="146"/>
      <c r="AA436" s="146"/>
    </row>
    <row r="437" spans="1:27" ht="15.75" customHeight="1" x14ac:dyDescent="0.25">
      <c r="A437" s="146"/>
      <c r="B437" s="146"/>
      <c r="C437" s="146"/>
      <c r="D437" s="146"/>
      <c r="E437" s="146"/>
      <c r="F437" s="146"/>
      <c r="G437" s="146"/>
      <c r="H437" s="146"/>
      <c r="I437" s="146"/>
      <c r="J437" s="146"/>
      <c r="K437" s="146"/>
      <c r="L437" s="146"/>
      <c r="M437" s="146"/>
      <c r="N437" s="146"/>
      <c r="O437" s="146"/>
      <c r="P437" s="146"/>
      <c r="Q437" s="146"/>
      <c r="R437" s="146"/>
      <c r="S437" s="146"/>
      <c r="T437" s="146"/>
      <c r="U437" s="146"/>
      <c r="V437" s="146"/>
      <c r="W437" s="146"/>
      <c r="X437" s="146"/>
      <c r="Y437" s="146"/>
      <c r="Z437" s="146"/>
      <c r="AA437" s="146"/>
    </row>
    <row r="438" spans="1:27" ht="15.75" customHeight="1" x14ac:dyDescent="0.25">
      <c r="A438" s="146"/>
      <c r="B438" s="146"/>
      <c r="C438" s="146"/>
      <c r="D438" s="146"/>
      <c r="E438" s="146"/>
      <c r="F438" s="146"/>
      <c r="G438" s="146"/>
      <c r="H438" s="146"/>
      <c r="I438" s="146"/>
      <c r="J438" s="146"/>
      <c r="K438" s="146"/>
      <c r="L438" s="146"/>
      <c r="M438" s="146"/>
      <c r="N438" s="146"/>
      <c r="O438" s="146"/>
      <c r="P438" s="146"/>
      <c r="Q438" s="146"/>
      <c r="R438" s="146"/>
      <c r="S438" s="146"/>
      <c r="T438" s="146"/>
      <c r="U438" s="146"/>
      <c r="V438" s="146"/>
      <c r="W438" s="146"/>
      <c r="X438" s="146"/>
      <c r="Y438" s="146"/>
      <c r="Z438" s="146"/>
      <c r="AA438" s="146"/>
    </row>
    <row r="439" spans="1:27" ht="15.75" customHeight="1" x14ac:dyDescent="0.25">
      <c r="A439" s="146"/>
      <c r="B439" s="146"/>
      <c r="C439" s="146"/>
      <c r="D439" s="146"/>
      <c r="E439" s="146"/>
      <c r="F439" s="146"/>
      <c r="G439" s="146"/>
      <c r="H439" s="146"/>
      <c r="I439" s="146"/>
      <c r="J439" s="146"/>
      <c r="K439" s="146"/>
      <c r="L439" s="146"/>
      <c r="M439" s="146"/>
      <c r="N439" s="146"/>
      <c r="O439" s="146"/>
      <c r="P439" s="146"/>
      <c r="Q439" s="146"/>
      <c r="R439" s="146"/>
      <c r="S439" s="146"/>
      <c r="T439" s="146"/>
      <c r="U439" s="146"/>
      <c r="V439" s="146"/>
      <c r="W439" s="146"/>
      <c r="X439" s="146"/>
      <c r="Y439" s="146"/>
      <c r="Z439" s="146"/>
      <c r="AA439" s="146"/>
    </row>
    <row r="440" spans="1:27" ht="15.75" customHeight="1" x14ac:dyDescent="0.25">
      <c r="A440" s="146"/>
      <c r="B440" s="146"/>
      <c r="C440" s="146"/>
      <c r="D440" s="146"/>
      <c r="E440" s="146"/>
      <c r="F440" s="146"/>
      <c r="G440" s="146"/>
      <c r="H440" s="146"/>
      <c r="I440" s="146"/>
      <c r="J440" s="146"/>
      <c r="K440" s="146"/>
      <c r="L440" s="146"/>
      <c r="M440" s="146"/>
      <c r="N440" s="146"/>
      <c r="O440" s="146"/>
      <c r="P440" s="146"/>
      <c r="Q440" s="146"/>
      <c r="R440" s="146"/>
      <c r="S440" s="146"/>
      <c r="T440" s="146"/>
      <c r="U440" s="146"/>
      <c r="V440" s="146"/>
      <c r="W440" s="146"/>
      <c r="X440" s="146"/>
      <c r="Y440" s="146"/>
      <c r="Z440" s="146"/>
      <c r="AA440" s="146"/>
    </row>
    <row r="441" spans="1:27" ht="15.75" customHeight="1" x14ac:dyDescent="0.25">
      <c r="A441" s="146"/>
      <c r="B441" s="146"/>
      <c r="C441" s="146"/>
      <c r="D441" s="146"/>
      <c r="E441" s="146"/>
      <c r="F441" s="146"/>
      <c r="G441" s="146"/>
      <c r="H441" s="146"/>
      <c r="I441" s="146"/>
      <c r="J441" s="146"/>
      <c r="K441" s="146"/>
      <c r="L441" s="146"/>
      <c r="M441" s="146"/>
      <c r="N441" s="146"/>
      <c r="O441" s="146"/>
      <c r="P441" s="146"/>
      <c r="Q441" s="146"/>
      <c r="R441" s="146"/>
      <c r="S441" s="146"/>
      <c r="T441" s="146"/>
      <c r="U441" s="146"/>
      <c r="V441" s="146"/>
      <c r="W441" s="146"/>
      <c r="X441" s="146"/>
      <c r="Y441" s="146"/>
      <c r="Z441" s="146"/>
      <c r="AA441" s="146"/>
    </row>
    <row r="442" spans="1:27" ht="15.75" customHeight="1" x14ac:dyDescent="0.25">
      <c r="A442" s="146"/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146"/>
      <c r="M442" s="146"/>
      <c r="N442" s="146"/>
      <c r="O442" s="146"/>
      <c r="P442" s="146"/>
      <c r="Q442" s="146"/>
      <c r="R442" s="146"/>
      <c r="S442" s="146"/>
      <c r="T442" s="146"/>
      <c r="U442" s="146"/>
      <c r="V442" s="146"/>
      <c r="W442" s="146"/>
      <c r="X442" s="146"/>
      <c r="Y442" s="146"/>
      <c r="Z442" s="146"/>
      <c r="AA442" s="146"/>
    </row>
    <row r="443" spans="1:27" ht="15.75" customHeight="1" x14ac:dyDescent="0.25">
      <c r="A443" s="146"/>
      <c r="B443" s="146"/>
      <c r="C443" s="146"/>
      <c r="D443" s="146"/>
      <c r="E443" s="146"/>
      <c r="F443" s="146"/>
      <c r="G443" s="146"/>
      <c r="H443" s="146"/>
      <c r="I443" s="146"/>
      <c r="J443" s="146"/>
      <c r="K443" s="146"/>
      <c r="L443" s="146"/>
      <c r="M443" s="146"/>
      <c r="N443" s="146"/>
      <c r="O443" s="146"/>
      <c r="P443" s="146"/>
      <c r="Q443" s="146"/>
      <c r="R443" s="146"/>
      <c r="S443" s="146"/>
      <c r="T443" s="146"/>
      <c r="U443" s="146"/>
      <c r="V443" s="146"/>
      <c r="W443" s="146"/>
      <c r="X443" s="146"/>
      <c r="Y443" s="146"/>
      <c r="Z443" s="146"/>
      <c r="AA443" s="146"/>
    </row>
    <row r="444" spans="1:27" ht="15.75" customHeight="1" x14ac:dyDescent="0.25">
      <c r="A444" s="146"/>
      <c r="B444" s="146"/>
      <c r="C444" s="146"/>
      <c r="D444" s="146"/>
      <c r="E444" s="146"/>
      <c r="F444" s="146"/>
      <c r="G444" s="146"/>
      <c r="H444" s="146"/>
      <c r="I444" s="146"/>
      <c r="J444" s="146"/>
      <c r="K444" s="146"/>
      <c r="L444" s="146"/>
      <c r="M444" s="146"/>
      <c r="N444" s="146"/>
      <c r="O444" s="146"/>
      <c r="P444" s="146"/>
      <c r="Q444" s="146"/>
      <c r="R444" s="146"/>
      <c r="S444" s="146"/>
      <c r="T444" s="146"/>
      <c r="U444" s="146"/>
      <c r="V444" s="146"/>
      <c r="W444" s="146"/>
      <c r="X444" s="146"/>
      <c r="Y444" s="146"/>
      <c r="Z444" s="146"/>
      <c r="AA444" s="146"/>
    </row>
    <row r="445" spans="1:27" ht="15.75" customHeight="1" x14ac:dyDescent="0.25">
      <c r="A445" s="146"/>
      <c r="B445" s="146"/>
      <c r="C445" s="146"/>
      <c r="D445" s="146"/>
      <c r="E445" s="146"/>
      <c r="F445" s="146"/>
      <c r="G445" s="146"/>
      <c r="H445" s="146"/>
      <c r="I445" s="146"/>
      <c r="J445" s="146"/>
      <c r="K445" s="146"/>
      <c r="L445" s="146"/>
      <c r="M445" s="146"/>
      <c r="N445" s="146"/>
      <c r="O445" s="146"/>
      <c r="P445" s="146"/>
      <c r="Q445" s="146"/>
      <c r="R445" s="146"/>
      <c r="S445" s="146"/>
      <c r="T445" s="146"/>
      <c r="U445" s="146"/>
      <c r="V445" s="146"/>
      <c r="W445" s="146"/>
      <c r="X445" s="146"/>
      <c r="Y445" s="146"/>
      <c r="Z445" s="146"/>
      <c r="AA445" s="146"/>
    </row>
    <row r="446" spans="1:27" ht="15.75" customHeight="1" x14ac:dyDescent="0.25">
      <c r="A446" s="146"/>
      <c r="B446" s="146"/>
      <c r="C446" s="146"/>
      <c r="D446" s="146"/>
      <c r="E446" s="146"/>
      <c r="F446" s="146"/>
      <c r="G446" s="146"/>
      <c r="H446" s="146"/>
      <c r="I446" s="146"/>
      <c r="J446" s="146"/>
      <c r="K446" s="146"/>
      <c r="L446" s="146"/>
      <c r="M446" s="146"/>
      <c r="N446" s="146"/>
      <c r="O446" s="146"/>
      <c r="P446" s="146"/>
      <c r="Q446" s="146"/>
      <c r="R446" s="146"/>
      <c r="S446" s="146"/>
      <c r="T446" s="146"/>
      <c r="U446" s="146"/>
      <c r="V446" s="146"/>
      <c r="W446" s="146"/>
      <c r="X446" s="146"/>
      <c r="Y446" s="146"/>
      <c r="Z446" s="146"/>
      <c r="AA446" s="146"/>
    </row>
    <row r="447" spans="1:27" ht="15.75" customHeight="1" x14ac:dyDescent="0.25">
      <c r="A447" s="146"/>
      <c r="B447" s="146"/>
      <c r="C447" s="146"/>
      <c r="D447" s="146"/>
      <c r="E447" s="146"/>
      <c r="F447" s="146"/>
      <c r="G447" s="146"/>
      <c r="H447" s="146"/>
      <c r="I447" s="146"/>
      <c r="J447" s="146"/>
      <c r="K447" s="146"/>
      <c r="L447" s="146"/>
      <c r="M447" s="146"/>
      <c r="N447" s="146"/>
      <c r="O447" s="146"/>
      <c r="P447" s="146"/>
      <c r="Q447" s="146"/>
      <c r="R447" s="146"/>
      <c r="S447" s="146"/>
      <c r="T447" s="146"/>
      <c r="U447" s="146"/>
      <c r="V447" s="146"/>
      <c r="W447" s="146"/>
      <c r="X447" s="146"/>
      <c r="Y447" s="146"/>
      <c r="Z447" s="146"/>
      <c r="AA447" s="146"/>
    </row>
    <row r="448" spans="1:27" ht="15.75" customHeight="1" x14ac:dyDescent="0.25">
      <c r="A448" s="146"/>
      <c r="B448" s="146"/>
      <c r="C448" s="146"/>
      <c r="D448" s="146"/>
      <c r="E448" s="146"/>
      <c r="F448" s="146"/>
      <c r="G448" s="146"/>
      <c r="H448" s="146"/>
      <c r="I448" s="146"/>
      <c r="J448" s="146"/>
      <c r="K448" s="146"/>
      <c r="L448" s="146"/>
      <c r="M448" s="146"/>
      <c r="N448" s="146"/>
      <c r="O448" s="146"/>
      <c r="P448" s="146"/>
      <c r="Q448" s="146"/>
      <c r="R448" s="146"/>
      <c r="S448" s="146"/>
      <c r="T448" s="146"/>
      <c r="U448" s="146"/>
      <c r="V448" s="146"/>
      <c r="W448" s="146"/>
      <c r="X448" s="146"/>
      <c r="Y448" s="146"/>
      <c r="Z448" s="146"/>
      <c r="AA448" s="146"/>
    </row>
    <row r="449" spans="1:27" ht="15.75" customHeight="1" x14ac:dyDescent="0.25">
      <c r="A449" s="146"/>
      <c r="B449" s="146"/>
      <c r="C449" s="146"/>
      <c r="D449" s="146"/>
      <c r="E449" s="146"/>
      <c r="F449" s="146"/>
      <c r="G449" s="146"/>
      <c r="H449" s="146"/>
      <c r="I449" s="146"/>
      <c r="J449" s="146"/>
      <c r="K449" s="146"/>
      <c r="L449" s="146"/>
      <c r="M449" s="146"/>
      <c r="N449" s="146"/>
      <c r="O449" s="146"/>
      <c r="P449" s="146"/>
      <c r="Q449" s="146"/>
      <c r="R449" s="146"/>
      <c r="S449" s="146"/>
      <c r="T449" s="146"/>
      <c r="U449" s="146"/>
      <c r="V449" s="146"/>
      <c r="W449" s="146"/>
      <c r="X449" s="146"/>
      <c r="Y449" s="146"/>
      <c r="Z449" s="146"/>
      <c r="AA449" s="146"/>
    </row>
    <row r="450" spans="1:27" ht="15.75" customHeight="1" x14ac:dyDescent="0.25">
      <c r="A450" s="146"/>
      <c r="B450" s="146"/>
      <c r="C450" s="146"/>
      <c r="D450" s="146"/>
      <c r="E450" s="146"/>
      <c r="F450" s="146"/>
      <c r="G450" s="146"/>
      <c r="H450" s="146"/>
      <c r="I450" s="146"/>
      <c r="J450" s="146"/>
      <c r="K450" s="146"/>
      <c r="L450" s="146"/>
      <c r="M450" s="146"/>
      <c r="N450" s="146"/>
      <c r="O450" s="146"/>
      <c r="P450" s="146"/>
      <c r="Q450" s="146"/>
      <c r="R450" s="146"/>
      <c r="S450" s="146"/>
      <c r="T450" s="146"/>
      <c r="U450" s="146"/>
      <c r="V450" s="146"/>
      <c r="W450" s="146"/>
      <c r="X450" s="146"/>
      <c r="Y450" s="146"/>
      <c r="Z450" s="146"/>
      <c r="AA450" s="146"/>
    </row>
    <row r="451" spans="1:27" ht="15.75" customHeight="1" x14ac:dyDescent="0.25">
      <c r="A451" s="146"/>
      <c r="B451" s="146"/>
      <c r="C451" s="146"/>
      <c r="D451" s="146"/>
      <c r="E451" s="146"/>
      <c r="F451" s="146"/>
      <c r="G451" s="146"/>
      <c r="H451" s="146"/>
      <c r="I451" s="146"/>
      <c r="J451" s="146"/>
      <c r="K451" s="146"/>
      <c r="L451" s="146"/>
      <c r="M451" s="146"/>
      <c r="N451" s="146"/>
      <c r="O451" s="146"/>
      <c r="P451" s="146"/>
      <c r="Q451" s="146"/>
      <c r="R451" s="146"/>
      <c r="S451" s="146"/>
      <c r="T451" s="146"/>
      <c r="U451" s="146"/>
      <c r="V451" s="146"/>
      <c r="W451" s="146"/>
      <c r="X451" s="146"/>
      <c r="Y451" s="146"/>
      <c r="Z451" s="146"/>
      <c r="AA451" s="146"/>
    </row>
    <row r="452" spans="1:27" ht="15.75" customHeight="1" x14ac:dyDescent="0.25">
      <c r="A452" s="146"/>
      <c r="B452" s="146"/>
      <c r="C452" s="146"/>
      <c r="D452" s="146"/>
      <c r="E452" s="146"/>
      <c r="F452" s="146"/>
      <c r="G452" s="146"/>
      <c r="H452" s="146"/>
      <c r="I452" s="146"/>
      <c r="J452" s="146"/>
      <c r="K452" s="146"/>
      <c r="L452" s="146"/>
      <c r="M452" s="146"/>
      <c r="N452" s="146"/>
      <c r="O452" s="146"/>
      <c r="P452" s="146"/>
      <c r="Q452" s="146"/>
      <c r="R452" s="146"/>
      <c r="S452" s="146"/>
      <c r="T452" s="146"/>
      <c r="U452" s="146"/>
      <c r="V452" s="146"/>
      <c r="W452" s="146"/>
      <c r="X452" s="146"/>
      <c r="Y452" s="146"/>
      <c r="Z452" s="146"/>
      <c r="AA452" s="146"/>
    </row>
    <row r="453" spans="1:27" ht="15.75" customHeight="1" x14ac:dyDescent="0.25">
      <c r="A453" s="146"/>
      <c r="B453" s="146"/>
      <c r="C453" s="146"/>
      <c r="D453" s="146"/>
      <c r="E453" s="146"/>
      <c r="F453" s="146"/>
      <c r="G453" s="146"/>
      <c r="H453" s="146"/>
      <c r="I453" s="146"/>
      <c r="J453" s="146"/>
      <c r="K453" s="146"/>
      <c r="L453" s="146"/>
      <c r="M453" s="146"/>
      <c r="N453" s="146"/>
      <c r="O453" s="146"/>
      <c r="P453" s="146"/>
      <c r="Q453" s="146"/>
      <c r="R453" s="146"/>
      <c r="S453" s="146"/>
      <c r="T453" s="146"/>
      <c r="U453" s="146"/>
      <c r="V453" s="146"/>
      <c r="W453" s="146"/>
      <c r="X453" s="146"/>
      <c r="Y453" s="146"/>
      <c r="Z453" s="146"/>
      <c r="AA453" s="146"/>
    </row>
    <row r="454" spans="1:27" ht="15.75" customHeight="1" x14ac:dyDescent="0.25">
      <c r="A454" s="146"/>
      <c r="B454" s="146"/>
      <c r="C454" s="146"/>
      <c r="D454" s="146"/>
      <c r="E454" s="146"/>
      <c r="F454" s="146"/>
      <c r="G454" s="146"/>
      <c r="H454" s="146"/>
      <c r="I454" s="146"/>
      <c r="J454" s="146"/>
      <c r="K454" s="146"/>
      <c r="L454" s="146"/>
      <c r="M454" s="146"/>
      <c r="N454" s="146"/>
      <c r="O454" s="146"/>
      <c r="P454" s="146"/>
      <c r="Q454" s="146"/>
      <c r="R454" s="146"/>
      <c r="S454" s="146"/>
      <c r="T454" s="146"/>
      <c r="U454" s="146"/>
      <c r="V454" s="146"/>
      <c r="W454" s="146"/>
      <c r="X454" s="146"/>
      <c r="Y454" s="146"/>
      <c r="Z454" s="146"/>
      <c r="AA454" s="146"/>
    </row>
    <row r="455" spans="1:27" ht="15.75" customHeight="1" x14ac:dyDescent="0.25">
      <c r="A455" s="146"/>
      <c r="B455" s="146"/>
      <c r="C455" s="146"/>
      <c r="D455" s="146"/>
      <c r="E455" s="146"/>
      <c r="F455" s="146"/>
      <c r="G455" s="146"/>
      <c r="H455" s="146"/>
      <c r="I455" s="146"/>
      <c r="J455" s="146"/>
      <c r="K455" s="146"/>
      <c r="L455" s="146"/>
      <c r="M455" s="146"/>
      <c r="N455" s="146"/>
      <c r="O455" s="146"/>
      <c r="P455" s="146"/>
      <c r="Q455" s="146"/>
      <c r="R455" s="146"/>
      <c r="S455" s="146"/>
      <c r="T455" s="146"/>
      <c r="U455" s="146"/>
      <c r="V455" s="146"/>
      <c r="W455" s="146"/>
      <c r="X455" s="146"/>
      <c r="Y455" s="146"/>
      <c r="Z455" s="146"/>
      <c r="AA455" s="146"/>
    </row>
    <row r="456" spans="1:27" ht="15.75" customHeight="1" x14ac:dyDescent="0.25">
      <c r="A456" s="146"/>
      <c r="B456" s="146"/>
      <c r="C456" s="146"/>
      <c r="D456" s="146"/>
      <c r="E456" s="146"/>
      <c r="F456" s="146"/>
      <c r="G456" s="146"/>
      <c r="H456" s="146"/>
      <c r="I456" s="146"/>
      <c r="J456" s="146"/>
      <c r="K456" s="146"/>
      <c r="L456" s="146"/>
      <c r="M456" s="146"/>
      <c r="N456" s="146"/>
      <c r="O456" s="146"/>
      <c r="P456" s="146"/>
      <c r="Q456" s="146"/>
      <c r="R456" s="146"/>
      <c r="S456" s="146"/>
      <c r="T456" s="146"/>
      <c r="U456" s="146"/>
      <c r="V456" s="146"/>
      <c r="W456" s="146"/>
      <c r="X456" s="146"/>
      <c r="Y456" s="146"/>
      <c r="Z456" s="146"/>
      <c r="AA456" s="146"/>
    </row>
    <row r="457" spans="1:27" ht="15.75" customHeight="1" x14ac:dyDescent="0.25">
      <c r="A457" s="146"/>
      <c r="B457" s="146"/>
      <c r="C457" s="146"/>
      <c r="D457" s="146"/>
      <c r="E457" s="146"/>
      <c r="F457" s="146"/>
      <c r="G457" s="146"/>
      <c r="H457" s="146"/>
      <c r="I457" s="146"/>
      <c r="J457" s="146"/>
      <c r="K457" s="146"/>
      <c r="L457" s="146"/>
      <c r="M457" s="146"/>
      <c r="N457" s="146"/>
      <c r="O457" s="146"/>
      <c r="P457" s="146"/>
      <c r="Q457" s="146"/>
      <c r="R457" s="146"/>
      <c r="S457" s="146"/>
      <c r="T457" s="146"/>
      <c r="U457" s="146"/>
      <c r="V457" s="146"/>
      <c r="W457" s="146"/>
      <c r="X457" s="146"/>
      <c r="Y457" s="146"/>
      <c r="Z457" s="146"/>
      <c r="AA457" s="146"/>
    </row>
    <row r="458" spans="1:27" ht="15.75" customHeight="1" x14ac:dyDescent="0.25">
      <c r="A458" s="146"/>
      <c r="B458" s="146"/>
      <c r="C458" s="146"/>
      <c r="D458" s="146"/>
      <c r="E458" s="146"/>
      <c r="F458" s="146"/>
      <c r="G458" s="146"/>
      <c r="H458" s="146"/>
      <c r="I458" s="146"/>
      <c r="J458" s="146"/>
      <c r="K458" s="146"/>
      <c r="L458" s="146"/>
      <c r="M458" s="146"/>
      <c r="N458" s="146"/>
      <c r="O458" s="146"/>
      <c r="P458" s="146"/>
      <c r="Q458" s="146"/>
      <c r="R458" s="146"/>
      <c r="S458" s="146"/>
      <c r="T458" s="146"/>
      <c r="U458" s="146"/>
      <c r="V458" s="146"/>
      <c r="W458" s="146"/>
      <c r="X458" s="146"/>
      <c r="Y458" s="146"/>
      <c r="Z458" s="146"/>
      <c r="AA458" s="146"/>
    </row>
    <row r="459" spans="1:27" ht="15.75" customHeight="1" x14ac:dyDescent="0.25">
      <c r="A459" s="146"/>
      <c r="B459" s="146"/>
      <c r="C459" s="146"/>
      <c r="D459" s="146"/>
      <c r="E459" s="146"/>
      <c r="F459" s="146"/>
      <c r="G459" s="146"/>
      <c r="H459" s="146"/>
      <c r="I459" s="146"/>
      <c r="J459" s="146"/>
      <c r="K459" s="146"/>
      <c r="L459" s="146"/>
      <c r="M459" s="146"/>
      <c r="N459" s="146"/>
      <c r="O459" s="146"/>
      <c r="P459" s="146"/>
      <c r="Q459" s="146"/>
      <c r="R459" s="146"/>
      <c r="S459" s="146"/>
      <c r="T459" s="146"/>
      <c r="U459" s="146"/>
      <c r="V459" s="146"/>
      <c r="W459" s="146"/>
      <c r="X459" s="146"/>
      <c r="Y459" s="146"/>
      <c r="Z459" s="146"/>
      <c r="AA459" s="146"/>
    </row>
    <row r="460" spans="1:27" ht="15.75" customHeight="1" x14ac:dyDescent="0.25">
      <c r="A460" s="146"/>
      <c r="B460" s="146"/>
      <c r="C460" s="146"/>
      <c r="D460" s="146"/>
      <c r="E460" s="146"/>
      <c r="F460" s="146"/>
      <c r="G460" s="146"/>
      <c r="H460" s="146"/>
      <c r="I460" s="146"/>
      <c r="J460" s="146"/>
      <c r="K460" s="146"/>
      <c r="L460" s="146"/>
      <c r="M460" s="146"/>
      <c r="N460" s="146"/>
      <c r="O460" s="146"/>
      <c r="P460" s="146"/>
      <c r="Q460" s="146"/>
      <c r="R460" s="146"/>
      <c r="S460" s="146"/>
      <c r="T460" s="146"/>
      <c r="U460" s="146"/>
      <c r="V460" s="146"/>
      <c r="W460" s="146"/>
      <c r="X460" s="146"/>
      <c r="Y460" s="146"/>
      <c r="Z460" s="146"/>
      <c r="AA460" s="146"/>
    </row>
    <row r="461" spans="1:27" ht="15.75" customHeight="1" x14ac:dyDescent="0.25">
      <c r="A461" s="146"/>
      <c r="B461" s="146"/>
      <c r="C461" s="146"/>
      <c r="D461" s="146"/>
      <c r="E461" s="146"/>
      <c r="F461" s="146"/>
      <c r="G461" s="146"/>
      <c r="H461" s="146"/>
      <c r="I461" s="146"/>
      <c r="J461" s="146"/>
      <c r="K461" s="146"/>
      <c r="L461" s="146"/>
      <c r="M461" s="146"/>
      <c r="N461" s="146"/>
      <c r="O461" s="146"/>
      <c r="P461" s="146"/>
      <c r="Q461" s="146"/>
      <c r="R461" s="146"/>
      <c r="S461" s="146"/>
      <c r="T461" s="146"/>
      <c r="U461" s="146"/>
      <c r="V461" s="146"/>
      <c r="W461" s="146"/>
      <c r="X461" s="146"/>
      <c r="Y461" s="146"/>
      <c r="Z461" s="146"/>
      <c r="AA461" s="146"/>
    </row>
    <row r="462" spans="1:27" ht="15.75" customHeight="1" x14ac:dyDescent="0.25">
      <c r="A462" s="146"/>
      <c r="B462" s="146"/>
      <c r="C462" s="146"/>
      <c r="D462" s="146"/>
      <c r="E462" s="146"/>
      <c r="F462" s="146"/>
      <c r="G462" s="146"/>
      <c r="H462" s="146"/>
      <c r="I462" s="146"/>
      <c r="J462" s="146"/>
      <c r="K462" s="146"/>
      <c r="L462" s="146"/>
      <c r="M462" s="146"/>
      <c r="N462" s="146"/>
      <c r="O462" s="146"/>
      <c r="P462" s="146"/>
      <c r="Q462" s="146"/>
      <c r="R462" s="146"/>
      <c r="S462" s="146"/>
      <c r="T462" s="146"/>
      <c r="U462" s="146"/>
      <c r="V462" s="146"/>
      <c r="W462" s="146"/>
      <c r="X462" s="146"/>
      <c r="Y462" s="146"/>
      <c r="Z462" s="146"/>
      <c r="AA462" s="146"/>
    </row>
    <row r="463" spans="1:27" ht="15.75" customHeight="1" x14ac:dyDescent="0.25">
      <c r="A463" s="146"/>
      <c r="B463" s="146"/>
      <c r="C463" s="146"/>
      <c r="D463" s="146"/>
      <c r="E463" s="146"/>
      <c r="F463" s="146"/>
      <c r="G463" s="146"/>
      <c r="H463" s="146"/>
      <c r="I463" s="146"/>
      <c r="J463" s="146"/>
      <c r="K463" s="146"/>
      <c r="L463" s="146"/>
      <c r="M463" s="146"/>
      <c r="N463" s="146"/>
      <c r="O463" s="146"/>
      <c r="P463" s="146"/>
      <c r="Q463" s="146"/>
      <c r="R463" s="146"/>
      <c r="S463" s="146"/>
      <c r="T463" s="146"/>
      <c r="U463" s="146"/>
      <c r="V463" s="146"/>
      <c r="W463" s="146"/>
      <c r="X463" s="146"/>
      <c r="Y463" s="146"/>
      <c r="Z463" s="146"/>
      <c r="AA463" s="146"/>
    </row>
    <row r="464" spans="1:27" ht="15.75" customHeight="1" x14ac:dyDescent="0.25">
      <c r="A464" s="146"/>
      <c r="B464" s="146"/>
      <c r="C464" s="146"/>
      <c r="D464" s="146"/>
      <c r="E464" s="146"/>
      <c r="F464" s="146"/>
      <c r="G464" s="146"/>
      <c r="H464" s="146"/>
      <c r="I464" s="146"/>
      <c r="J464" s="146"/>
      <c r="K464" s="146"/>
      <c r="L464" s="146"/>
      <c r="M464" s="146"/>
      <c r="N464" s="146"/>
      <c r="O464" s="146"/>
      <c r="P464" s="146"/>
      <c r="Q464" s="146"/>
      <c r="R464" s="146"/>
      <c r="S464" s="146"/>
      <c r="T464" s="146"/>
      <c r="U464" s="146"/>
      <c r="V464" s="146"/>
      <c r="W464" s="146"/>
      <c r="X464" s="146"/>
      <c r="Y464" s="146"/>
      <c r="Z464" s="146"/>
      <c r="AA464" s="146"/>
    </row>
    <row r="465" spans="1:27" ht="15.75" customHeight="1" x14ac:dyDescent="0.25">
      <c r="A465" s="146"/>
      <c r="B465" s="146"/>
      <c r="C465" s="146"/>
      <c r="D465" s="146"/>
      <c r="E465" s="146"/>
      <c r="F465" s="146"/>
      <c r="G465" s="146"/>
      <c r="H465" s="146"/>
      <c r="I465" s="146"/>
      <c r="J465" s="146"/>
      <c r="K465" s="146"/>
      <c r="L465" s="146"/>
      <c r="M465" s="146"/>
      <c r="N465" s="146"/>
      <c r="O465" s="146"/>
      <c r="P465" s="146"/>
      <c r="Q465" s="146"/>
      <c r="R465" s="146"/>
      <c r="S465" s="146"/>
      <c r="T465" s="146"/>
      <c r="U465" s="146"/>
      <c r="V465" s="146"/>
      <c r="W465" s="146"/>
      <c r="X465" s="146"/>
      <c r="Y465" s="146"/>
      <c r="Z465" s="146"/>
      <c r="AA465" s="146"/>
    </row>
    <row r="466" spans="1:27" ht="15.75" customHeight="1" x14ac:dyDescent="0.25">
      <c r="A466" s="146"/>
      <c r="B466" s="146"/>
      <c r="C466" s="146"/>
      <c r="D466" s="146"/>
      <c r="E466" s="146"/>
      <c r="F466" s="146"/>
      <c r="G466" s="146"/>
      <c r="H466" s="146"/>
      <c r="I466" s="146"/>
      <c r="J466" s="146"/>
      <c r="K466" s="146"/>
      <c r="L466" s="146"/>
      <c r="M466" s="146"/>
      <c r="N466" s="146"/>
      <c r="O466" s="146"/>
      <c r="P466" s="146"/>
      <c r="Q466" s="146"/>
      <c r="R466" s="146"/>
      <c r="S466" s="146"/>
      <c r="T466" s="146"/>
      <c r="U466" s="146"/>
      <c r="V466" s="146"/>
      <c r="W466" s="146"/>
      <c r="X466" s="146"/>
      <c r="Y466" s="146"/>
      <c r="Z466" s="146"/>
      <c r="AA466" s="146"/>
    </row>
    <row r="467" spans="1:27" ht="15.75" customHeight="1" x14ac:dyDescent="0.25">
      <c r="A467" s="146"/>
      <c r="B467" s="146"/>
      <c r="C467" s="146"/>
      <c r="D467" s="146"/>
      <c r="E467" s="146"/>
      <c r="F467" s="146"/>
      <c r="G467" s="146"/>
      <c r="H467" s="146"/>
      <c r="I467" s="146"/>
      <c r="J467" s="146"/>
      <c r="K467" s="146"/>
      <c r="L467" s="146"/>
      <c r="M467" s="146"/>
      <c r="N467" s="146"/>
      <c r="O467" s="146"/>
      <c r="P467" s="146"/>
      <c r="Q467" s="146"/>
      <c r="R467" s="146"/>
      <c r="S467" s="146"/>
      <c r="T467" s="146"/>
      <c r="U467" s="146"/>
      <c r="V467" s="146"/>
      <c r="W467" s="146"/>
      <c r="X467" s="146"/>
      <c r="Y467" s="146"/>
      <c r="Z467" s="146"/>
      <c r="AA467" s="146"/>
    </row>
    <row r="468" spans="1:27" ht="15.75" customHeight="1" x14ac:dyDescent="0.25">
      <c r="A468" s="146"/>
      <c r="B468" s="146"/>
      <c r="C468" s="146"/>
      <c r="D468" s="146"/>
      <c r="E468" s="146"/>
      <c r="F468" s="146"/>
      <c r="G468" s="146"/>
      <c r="H468" s="146"/>
      <c r="I468" s="146"/>
      <c r="J468" s="146"/>
      <c r="K468" s="146"/>
      <c r="L468" s="146"/>
      <c r="M468" s="146"/>
      <c r="N468" s="146"/>
      <c r="O468" s="146"/>
      <c r="P468" s="146"/>
      <c r="Q468" s="146"/>
      <c r="R468" s="146"/>
      <c r="S468" s="146"/>
      <c r="T468" s="146"/>
      <c r="U468" s="146"/>
      <c r="V468" s="146"/>
      <c r="W468" s="146"/>
      <c r="X468" s="146"/>
      <c r="Y468" s="146"/>
      <c r="Z468" s="146"/>
      <c r="AA468" s="146"/>
    </row>
    <row r="469" spans="1:27" ht="15.75" customHeight="1" x14ac:dyDescent="0.25">
      <c r="A469" s="146"/>
      <c r="B469" s="146"/>
      <c r="C469" s="146"/>
      <c r="D469" s="146"/>
      <c r="E469" s="146"/>
      <c r="F469" s="146"/>
      <c r="G469" s="146"/>
      <c r="H469" s="146"/>
      <c r="I469" s="146"/>
      <c r="J469" s="146"/>
      <c r="K469" s="146"/>
      <c r="L469" s="146"/>
      <c r="M469" s="146"/>
      <c r="N469" s="146"/>
      <c r="O469" s="146"/>
      <c r="P469" s="146"/>
      <c r="Q469" s="146"/>
      <c r="R469" s="146"/>
      <c r="S469" s="146"/>
      <c r="T469" s="146"/>
      <c r="U469" s="146"/>
      <c r="V469" s="146"/>
      <c r="W469" s="146"/>
      <c r="X469" s="146"/>
      <c r="Y469" s="146"/>
      <c r="Z469" s="146"/>
      <c r="AA469" s="146"/>
    </row>
    <row r="470" spans="1:27" ht="15.75" customHeight="1" x14ac:dyDescent="0.25">
      <c r="A470" s="146"/>
      <c r="B470" s="146"/>
      <c r="C470" s="146"/>
      <c r="D470" s="146"/>
      <c r="E470" s="146"/>
      <c r="F470" s="146"/>
      <c r="G470" s="146"/>
      <c r="H470" s="146"/>
      <c r="I470" s="146"/>
      <c r="J470" s="146"/>
      <c r="K470" s="146"/>
      <c r="L470" s="146"/>
      <c r="M470" s="146"/>
      <c r="N470" s="146"/>
      <c r="O470" s="146"/>
      <c r="P470" s="146"/>
      <c r="Q470" s="146"/>
      <c r="R470" s="146"/>
      <c r="S470" s="146"/>
      <c r="T470" s="146"/>
      <c r="U470" s="146"/>
      <c r="V470" s="146"/>
      <c r="W470" s="146"/>
      <c r="X470" s="146"/>
      <c r="Y470" s="146"/>
      <c r="Z470" s="146"/>
      <c r="AA470" s="146"/>
    </row>
    <row r="471" spans="1:27" ht="15.75" customHeight="1" x14ac:dyDescent="0.25">
      <c r="A471" s="146"/>
      <c r="B471" s="146"/>
      <c r="C471" s="146"/>
      <c r="D471" s="146"/>
      <c r="E471" s="146"/>
      <c r="F471" s="146"/>
      <c r="G471" s="146"/>
      <c r="H471" s="146"/>
      <c r="I471" s="146"/>
      <c r="J471" s="146"/>
      <c r="K471" s="146"/>
      <c r="L471" s="146"/>
      <c r="M471" s="146"/>
      <c r="N471" s="146"/>
      <c r="O471" s="146"/>
      <c r="P471" s="146"/>
      <c r="Q471" s="146"/>
      <c r="R471" s="146"/>
      <c r="S471" s="146"/>
      <c r="T471" s="146"/>
      <c r="U471" s="146"/>
      <c r="V471" s="146"/>
      <c r="W471" s="146"/>
      <c r="X471" s="146"/>
      <c r="Y471" s="146"/>
      <c r="Z471" s="146"/>
      <c r="AA471" s="146"/>
    </row>
    <row r="472" spans="1:27" ht="15.75" customHeight="1" x14ac:dyDescent="0.25">
      <c r="A472" s="146"/>
      <c r="B472" s="146"/>
      <c r="C472" s="146"/>
      <c r="D472" s="146"/>
      <c r="E472" s="146"/>
      <c r="F472" s="146"/>
      <c r="G472" s="146"/>
      <c r="H472" s="146"/>
      <c r="I472" s="146"/>
      <c r="J472" s="146"/>
      <c r="K472" s="146"/>
      <c r="L472" s="146"/>
      <c r="M472" s="146"/>
      <c r="N472" s="146"/>
      <c r="O472" s="146"/>
      <c r="P472" s="146"/>
      <c r="Q472" s="146"/>
      <c r="R472" s="146"/>
      <c r="S472" s="146"/>
      <c r="T472" s="146"/>
      <c r="U472" s="146"/>
      <c r="V472" s="146"/>
      <c r="W472" s="146"/>
      <c r="X472" s="146"/>
      <c r="Y472" s="146"/>
      <c r="Z472" s="146"/>
      <c r="AA472" s="146"/>
    </row>
    <row r="473" spans="1:27" ht="15.75" customHeight="1" x14ac:dyDescent="0.25">
      <c r="A473" s="146"/>
      <c r="B473" s="146"/>
      <c r="C473" s="146"/>
      <c r="D473" s="146"/>
      <c r="E473" s="146"/>
      <c r="F473" s="146"/>
      <c r="G473" s="146"/>
      <c r="H473" s="146"/>
      <c r="I473" s="146"/>
      <c r="J473" s="146"/>
      <c r="K473" s="146"/>
      <c r="L473" s="146"/>
      <c r="M473" s="146"/>
      <c r="N473" s="146"/>
      <c r="O473" s="146"/>
      <c r="P473" s="146"/>
      <c r="Q473" s="146"/>
      <c r="R473" s="146"/>
      <c r="S473" s="146"/>
      <c r="T473" s="146"/>
      <c r="U473" s="146"/>
      <c r="V473" s="146"/>
      <c r="W473" s="146"/>
      <c r="X473" s="146"/>
      <c r="Y473" s="146"/>
      <c r="Z473" s="146"/>
      <c r="AA473" s="146"/>
    </row>
    <row r="474" spans="1:27" ht="15.75" customHeight="1" x14ac:dyDescent="0.25">
      <c r="A474" s="146"/>
      <c r="B474" s="146"/>
      <c r="C474" s="146"/>
      <c r="D474" s="146"/>
      <c r="E474" s="146"/>
      <c r="F474" s="146"/>
      <c r="G474" s="146"/>
      <c r="H474" s="146"/>
      <c r="I474" s="146"/>
      <c r="J474" s="146"/>
      <c r="K474" s="146"/>
      <c r="L474" s="146"/>
      <c r="M474" s="146"/>
      <c r="N474" s="146"/>
      <c r="O474" s="146"/>
      <c r="P474" s="146"/>
      <c r="Q474" s="146"/>
      <c r="R474" s="146"/>
      <c r="S474" s="146"/>
      <c r="T474" s="146"/>
      <c r="U474" s="146"/>
      <c r="V474" s="146"/>
      <c r="W474" s="146"/>
      <c r="X474" s="146"/>
      <c r="Y474" s="146"/>
      <c r="Z474" s="146"/>
      <c r="AA474" s="146"/>
    </row>
    <row r="475" spans="1:27" ht="15.75" customHeight="1" x14ac:dyDescent="0.25">
      <c r="A475" s="146"/>
      <c r="B475" s="146"/>
      <c r="C475" s="146"/>
      <c r="D475" s="146"/>
      <c r="E475" s="146"/>
      <c r="F475" s="146"/>
      <c r="G475" s="146"/>
      <c r="H475" s="146"/>
      <c r="I475" s="146"/>
      <c r="J475" s="146"/>
      <c r="K475" s="146"/>
      <c r="L475" s="146"/>
      <c r="M475" s="146"/>
      <c r="N475" s="146"/>
      <c r="O475" s="146"/>
      <c r="P475" s="146"/>
      <c r="Q475" s="146"/>
      <c r="R475" s="146"/>
      <c r="S475" s="146"/>
      <c r="T475" s="146"/>
      <c r="U475" s="146"/>
      <c r="V475" s="146"/>
      <c r="W475" s="146"/>
      <c r="X475" s="146"/>
      <c r="Y475" s="146"/>
      <c r="Z475" s="146"/>
      <c r="AA475" s="146"/>
    </row>
    <row r="476" spans="1:27" ht="15.75" customHeight="1" x14ac:dyDescent="0.25">
      <c r="A476" s="146"/>
      <c r="B476" s="146"/>
      <c r="C476" s="146"/>
      <c r="D476" s="146"/>
      <c r="E476" s="146"/>
      <c r="F476" s="146"/>
      <c r="G476" s="146"/>
      <c r="H476" s="146"/>
      <c r="I476" s="146"/>
      <c r="J476" s="146"/>
      <c r="K476" s="146"/>
      <c r="L476" s="146"/>
      <c r="M476" s="146"/>
      <c r="N476" s="146"/>
      <c r="O476" s="146"/>
      <c r="P476" s="146"/>
      <c r="Q476" s="146"/>
      <c r="R476" s="146"/>
      <c r="S476" s="146"/>
      <c r="T476" s="146"/>
      <c r="U476" s="146"/>
      <c r="V476" s="146"/>
      <c r="W476" s="146"/>
      <c r="X476" s="146"/>
      <c r="Y476" s="146"/>
      <c r="Z476" s="146"/>
      <c r="AA476" s="146"/>
    </row>
    <row r="477" spans="1:27" ht="15.75" customHeight="1" x14ac:dyDescent="0.25">
      <c r="A477" s="146"/>
      <c r="B477" s="146"/>
      <c r="C477" s="146"/>
      <c r="D477" s="146"/>
      <c r="E477" s="146"/>
      <c r="F477" s="146"/>
      <c r="G477" s="146"/>
      <c r="H477" s="146"/>
      <c r="I477" s="146"/>
      <c r="J477" s="146"/>
      <c r="K477" s="146"/>
      <c r="L477" s="146"/>
      <c r="M477" s="146"/>
      <c r="N477" s="146"/>
      <c r="O477" s="146"/>
      <c r="P477" s="146"/>
      <c r="Q477" s="146"/>
      <c r="R477" s="146"/>
      <c r="S477" s="146"/>
      <c r="T477" s="146"/>
      <c r="U477" s="146"/>
      <c r="V477" s="146"/>
      <c r="W477" s="146"/>
      <c r="X477" s="146"/>
      <c r="Y477" s="146"/>
      <c r="Z477" s="146"/>
      <c r="AA477" s="146"/>
    </row>
    <row r="478" spans="1:27" ht="15.75" customHeight="1" x14ac:dyDescent="0.25">
      <c r="A478" s="146"/>
      <c r="B478" s="146"/>
      <c r="C478" s="146"/>
      <c r="D478" s="146"/>
      <c r="E478" s="146"/>
      <c r="F478" s="146"/>
      <c r="G478" s="146"/>
      <c r="H478" s="146"/>
      <c r="I478" s="146"/>
      <c r="J478" s="146"/>
      <c r="K478" s="146"/>
      <c r="L478" s="146"/>
      <c r="M478" s="146"/>
      <c r="N478" s="146"/>
      <c r="O478" s="146"/>
      <c r="P478" s="146"/>
      <c r="Q478" s="146"/>
      <c r="R478" s="146"/>
      <c r="S478" s="146"/>
      <c r="T478" s="146"/>
      <c r="U478" s="146"/>
      <c r="V478" s="146"/>
      <c r="W478" s="146"/>
      <c r="X478" s="146"/>
      <c r="Y478" s="146"/>
      <c r="Z478" s="146"/>
      <c r="AA478" s="146"/>
    </row>
    <row r="479" spans="1:27" ht="15.75" customHeight="1" x14ac:dyDescent="0.25">
      <c r="A479" s="146"/>
      <c r="B479" s="146"/>
      <c r="C479" s="146"/>
      <c r="D479" s="146"/>
      <c r="E479" s="146"/>
      <c r="F479" s="146"/>
      <c r="G479" s="146"/>
      <c r="H479" s="146"/>
      <c r="I479" s="146"/>
      <c r="J479" s="146"/>
      <c r="K479" s="146"/>
      <c r="L479" s="146"/>
      <c r="M479" s="146"/>
      <c r="N479" s="146"/>
      <c r="O479" s="146"/>
      <c r="P479" s="146"/>
      <c r="Q479" s="146"/>
      <c r="R479" s="146"/>
      <c r="S479" s="146"/>
      <c r="T479" s="146"/>
      <c r="U479" s="146"/>
      <c r="V479" s="146"/>
      <c r="W479" s="146"/>
      <c r="X479" s="146"/>
      <c r="Y479" s="146"/>
      <c r="Z479" s="146"/>
      <c r="AA479" s="146"/>
    </row>
    <row r="480" spans="1:27" ht="15.75" customHeight="1" x14ac:dyDescent="0.25">
      <c r="A480" s="146"/>
      <c r="B480" s="146"/>
      <c r="C480" s="146"/>
      <c r="D480" s="146"/>
      <c r="E480" s="146"/>
      <c r="F480" s="146"/>
      <c r="G480" s="146"/>
      <c r="H480" s="146"/>
      <c r="I480" s="146"/>
      <c r="J480" s="146"/>
      <c r="K480" s="146"/>
      <c r="L480" s="146"/>
      <c r="M480" s="146"/>
      <c r="N480" s="146"/>
      <c r="O480" s="146"/>
      <c r="P480" s="146"/>
      <c r="Q480" s="146"/>
      <c r="R480" s="146"/>
      <c r="S480" s="146"/>
      <c r="T480" s="146"/>
      <c r="U480" s="146"/>
      <c r="V480" s="146"/>
      <c r="W480" s="146"/>
      <c r="X480" s="146"/>
      <c r="Y480" s="146"/>
      <c r="Z480" s="146"/>
      <c r="AA480" s="146"/>
    </row>
    <row r="481" spans="1:27" ht="15.75" customHeight="1" x14ac:dyDescent="0.25">
      <c r="A481" s="146"/>
      <c r="B481" s="146"/>
      <c r="C481" s="146"/>
      <c r="D481" s="146"/>
      <c r="E481" s="146"/>
      <c r="F481" s="146"/>
      <c r="G481" s="146"/>
      <c r="H481" s="146"/>
      <c r="I481" s="146"/>
      <c r="J481" s="146"/>
      <c r="K481" s="146"/>
      <c r="L481" s="146"/>
      <c r="M481" s="146"/>
      <c r="N481" s="146"/>
      <c r="O481" s="146"/>
      <c r="P481" s="146"/>
      <c r="Q481" s="146"/>
      <c r="R481" s="146"/>
      <c r="S481" s="146"/>
      <c r="T481" s="146"/>
      <c r="U481" s="146"/>
      <c r="V481" s="146"/>
      <c r="W481" s="146"/>
      <c r="X481" s="146"/>
      <c r="Y481" s="146"/>
      <c r="Z481" s="146"/>
      <c r="AA481" s="146"/>
    </row>
    <row r="482" spans="1:27" ht="15.75" customHeight="1" x14ac:dyDescent="0.25">
      <c r="A482" s="146"/>
      <c r="B482" s="146"/>
      <c r="C482" s="146"/>
      <c r="D482" s="146"/>
      <c r="E482" s="146"/>
      <c r="F482" s="146"/>
      <c r="G482" s="146"/>
      <c r="H482" s="146"/>
      <c r="I482" s="146"/>
      <c r="J482" s="146"/>
      <c r="K482" s="146"/>
      <c r="L482" s="146"/>
      <c r="M482" s="146"/>
      <c r="N482" s="146"/>
      <c r="O482" s="146"/>
      <c r="P482" s="146"/>
      <c r="Q482" s="146"/>
      <c r="R482" s="146"/>
      <c r="S482" s="146"/>
      <c r="T482" s="146"/>
      <c r="U482" s="146"/>
      <c r="V482" s="146"/>
      <c r="W482" s="146"/>
      <c r="X482" s="146"/>
      <c r="Y482" s="146"/>
      <c r="Z482" s="146"/>
      <c r="AA482" s="146"/>
    </row>
    <row r="483" spans="1:27" ht="15.75" customHeight="1" x14ac:dyDescent="0.25">
      <c r="A483" s="146"/>
      <c r="B483" s="146"/>
      <c r="C483" s="146"/>
      <c r="D483" s="146"/>
      <c r="E483" s="146"/>
      <c r="F483" s="146"/>
      <c r="G483" s="146"/>
      <c r="H483" s="146"/>
      <c r="I483" s="146"/>
      <c r="J483" s="146"/>
      <c r="K483" s="146"/>
      <c r="L483" s="146"/>
      <c r="M483" s="146"/>
      <c r="N483" s="146"/>
      <c r="O483" s="146"/>
      <c r="P483" s="146"/>
      <c r="Q483" s="146"/>
      <c r="R483" s="146"/>
      <c r="S483" s="146"/>
      <c r="T483" s="146"/>
      <c r="U483" s="146"/>
      <c r="V483" s="146"/>
      <c r="W483" s="146"/>
      <c r="X483" s="146"/>
      <c r="Y483" s="146"/>
      <c r="Z483" s="146"/>
      <c r="AA483" s="146"/>
    </row>
    <row r="484" spans="1:27" ht="15.75" customHeight="1" x14ac:dyDescent="0.25">
      <c r="A484" s="146"/>
      <c r="B484" s="146"/>
      <c r="C484" s="146"/>
      <c r="D484" s="146"/>
      <c r="E484" s="146"/>
      <c r="F484" s="146"/>
      <c r="G484" s="146"/>
      <c r="H484" s="146"/>
      <c r="I484" s="146"/>
      <c r="J484" s="146"/>
      <c r="K484" s="146"/>
      <c r="L484" s="146"/>
      <c r="M484" s="146"/>
      <c r="N484" s="146"/>
      <c r="O484" s="146"/>
      <c r="P484" s="146"/>
      <c r="Q484" s="146"/>
      <c r="R484" s="146"/>
      <c r="S484" s="146"/>
      <c r="T484" s="146"/>
      <c r="U484" s="146"/>
      <c r="V484" s="146"/>
      <c r="W484" s="146"/>
      <c r="X484" s="146"/>
      <c r="Y484" s="146"/>
      <c r="Z484" s="146"/>
      <c r="AA484" s="146"/>
    </row>
    <row r="485" spans="1:27" ht="15.75" customHeight="1" x14ac:dyDescent="0.25">
      <c r="A485" s="146"/>
      <c r="B485" s="146"/>
      <c r="C485" s="146"/>
      <c r="D485" s="146"/>
      <c r="E485" s="146"/>
      <c r="F485" s="146"/>
      <c r="G485" s="146"/>
      <c r="H485" s="146"/>
      <c r="I485" s="146"/>
      <c r="J485" s="146"/>
      <c r="K485" s="146"/>
      <c r="L485" s="146"/>
      <c r="M485" s="146"/>
      <c r="N485" s="146"/>
      <c r="O485" s="146"/>
      <c r="P485" s="146"/>
      <c r="Q485" s="146"/>
      <c r="R485" s="146"/>
      <c r="S485" s="146"/>
      <c r="T485" s="146"/>
      <c r="U485" s="146"/>
      <c r="V485" s="146"/>
      <c r="W485" s="146"/>
      <c r="X485" s="146"/>
      <c r="Y485" s="146"/>
      <c r="Z485" s="146"/>
      <c r="AA485" s="146"/>
    </row>
    <row r="486" spans="1:27" ht="15.75" customHeight="1" x14ac:dyDescent="0.25">
      <c r="A486" s="146"/>
      <c r="B486" s="146"/>
      <c r="C486" s="146"/>
      <c r="D486" s="146"/>
      <c r="E486" s="146"/>
      <c r="F486" s="146"/>
      <c r="G486" s="146"/>
      <c r="H486" s="146"/>
      <c r="I486" s="146"/>
      <c r="J486" s="146"/>
      <c r="K486" s="146"/>
      <c r="L486" s="146"/>
      <c r="M486" s="146"/>
      <c r="N486" s="146"/>
      <c r="O486" s="146"/>
      <c r="P486" s="146"/>
      <c r="Q486" s="146"/>
      <c r="R486" s="146"/>
      <c r="S486" s="146"/>
      <c r="T486" s="146"/>
      <c r="U486" s="146"/>
      <c r="V486" s="146"/>
      <c r="W486" s="146"/>
      <c r="X486" s="146"/>
      <c r="Y486" s="146"/>
      <c r="Z486" s="146"/>
      <c r="AA486" s="146"/>
    </row>
    <row r="487" spans="1:27" ht="15.75" customHeight="1" x14ac:dyDescent="0.25">
      <c r="A487" s="146"/>
      <c r="B487" s="146"/>
      <c r="C487" s="146"/>
      <c r="D487" s="146"/>
      <c r="E487" s="146"/>
      <c r="F487" s="146"/>
      <c r="G487" s="146"/>
      <c r="H487" s="146"/>
      <c r="I487" s="146"/>
      <c r="J487" s="146"/>
      <c r="K487" s="146"/>
      <c r="L487" s="146"/>
      <c r="M487" s="146"/>
      <c r="N487" s="146"/>
      <c r="O487" s="146"/>
      <c r="P487" s="146"/>
      <c r="Q487" s="146"/>
      <c r="R487" s="146"/>
      <c r="S487" s="146"/>
      <c r="T487" s="146"/>
      <c r="U487" s="146"/>
      <c r="V487" s="146"/>
      <c r="W487" s="146"/>
      <c r="X487" s="146"/>
      <c r="Y487" s="146"/>
      <c r="Z487" s="146"/>
      <c r="AA487" s="146"/>
    </row>
    <row r="488" spans="1:27" ht="15.75" customHeight="1" x14ac:dyDescent="0.25">
      <c r="A488" s="146"/>
      <c r="B488" s="146"/>
      <c r="C488" s="146"/>
      <c r="D488" s="146"/>
      <c r="E488" s="146"/>
      <c r="F488" s="146"/>
      <c r="G488" s="146"/>
      <c r="H488" s="146"/>
      <c r="I488" s="146"/>
      <c r="J488" s="146"/>
      <c r="K488" s="146"/>
      <c r="L488" s="146"/>
      <c r="M488" s="146"/>
      <c r="N488" s="146"/>
      <c r="O488" s="146"/>
      <c r="P488" s="146"/>
      <c r="Q488" s="146"/>
      <c r="R488" s="146"/>
      <c r="S488" s="146"/>
      <c r="T488" s="146"/>
      <c r="U488" s="146"/>
      <c r="V488" s="146"/>
      <c r="W488" s="146"/>
      <c r="X488" s="146"/>
      <c r="Y488" s="146"/>
      <c r="Z488" s="146"/>
      <c r="AA488" s="146"/>
    </row>
    <row r="489" spans="1:27" ht="15.75" customHeight="1" x14ac:dyDescent="0.25">
      <c r="A489" s="146"/>
      <c r="B489" s="146"/>
      <c r="C489" s="146"/>
      <c r="D489" s="146"/>
      <c r="E489" s="146"/>
      <c r="F489" s="146"/>
      <c r="G489" s="146"/>
      <c r="H489" s="146"/>
      <c r="I489" s="146"/>
      <c r="J489" s="146"/>
      <c r="K489" s="146"/>
      <c r="L489" s="146"/>
      <c r="M489" s="146"/>
      <c r="N489" s="146"/>
      <c r="O489" s="146"/>
      <c r="P489" s="146"/>
      <c r="Q489" s="146"/>
      <c r="R489" s="146"/>
      <c r="S489" s="146"/>
      <c r="T489" s="146"/>
      <c r="U489" s="146"/>
      <c r="V489" s="146"/>
      <c r="W489" s="146"/>
      <c r="X489" s="146"/>
      <c r="Y489" s="146"/>
      <c r="Z489" s="146"/>
      <c r="AA489" s="146"/>
    </row>
    <row r="490" spans="1:27" ht="15.75" customHeight="1" x14ac:dyDescent="0.25">
      <c r="A490" s="146"/>
      <c r="B490" s="146"/>
      <c r="C490" s="146"/>
      <c r="D490" s="146"/>
      <c r="E490" s="146"/>
      <c r="F490" s="146"/>
      <c r="G490" s="146"/>
      <c r="H490" s="146"/>
      <c r="I490" s="146"/>
      <c r="J490" s="146"/>
      <c r="K490" s="146"/>
      <c r="L490" s="146"/>
      <c r="M490" s="146"/>
      <c r="N490" s="146"/>
      <c r="O490" s="146"/>
      <c r="P490" s="146"/>
      <c r="Q490" s="146"/>
      <c r="R490" s="146"/>
      <c r="S490" s="146"/>
      <c r="T490" s="146"/>
      <c r="U490" s="146"/>
      <c r="V490" s="146"/>
      <c r="W490" s="146"/>
      <c r="X490" s="146"/>
      <c r="Y490" s="146"/>
      <c r="Z490" s="146"/>
      <c r="AA490" s="146"/>
    </row>
    <row r="491" spans="1:27" ht="15.75" customHeight="1" x14ac:dyDescent="0.25">
      <c r="A491" s="146"/>
      <c r="B491" s="146"/>
      <c r="C491" s="146"/>
      <c r="D491" s="146"/>
      <c r="E491" s="146"/>
      <c r="F491" s="146"/>
      <c r="G491" s="146"/>
      <c r="H491" s="146"/>
      <c r="I491" s="146"/>
      <c r="J491" s="146"/>
      <c r="K491" s="146"/>
      <c r="L491" s="146"/>
      <c r="M491" s="146"/>
      <c r="N491" s="146"/>
      <c r="O491" s="146"/>
      <c r="P491" s="146"/>
      <c r="Q491" s="146"/>
      <c r="R491" s="146"/>
      <c r="S491" s="146"/>
      <c r="T491" s="146"/>
      <c r="U491" s="146"/>
      <c r="V491" s="146"/>
      <c r="W491" s="146"/>
      <c r="X491" s="146"/>
      <c r="Y491" s="146"/>
      <c r="Z491" s="146"/>
      <c r="AA491" s="146"/>
    </row>
    <row r="492" spans="1:27" ht="15.75" customHeight="1" x14ac:dyDescent="0.25">
      <c r="A492" s="146"/>
      <c r="B492" s="146"/>
      <c r="C492" s="146"/>
      <c r="D492" s="146"/>
      <c r="E492" s="146"/>
      <c r="F492" s="146"/>
      <c r="G492" s="146"/>
      <c r="H492" s="146"/>
      <c r="I492" s="146"/>
      <c r="J492" s="146"/>
      <c r="K492" s="146"/>
      <c r="L492" s="146"/>
      <c r="M492" s="146"/>
      <c r="N492" s="146"/>
      <c r="O492" s="146"/>
      <c r="P492" s="146"/>
      <c r="Q492" s="146"/>
      <c r="R492" s="146"/>
      <c r="S492" s="146"/>
      <c r="T492" s="146"/>
      <c r="U492" s="146"/>
      <c r="V492" s="146"/>
      <c r="W492" s="146"/>
      <c r="X492" s="146"/>
      <c r="Y492" s="146"/>
      <c r="Z492" s="146"/>
      <c r="AA492" s="146"/>
    </row>
    <row r="493" spans="1:27" ht="15.75" customHeight="1" x14ac:dyDescent="0.25">
      <c r="A493" s="146"/>
      <c r="B493" s="146"/>
      <c r="C493" s="146"/>
      <c r="D493" s="146"/>
      <c r="E493" s="146"/>
      <c r="F493" s="146"/>
      <c r="G493" s="146"/>
      <c r="H493" s="146"/>
      <c r="I493" s="146"/>
      <c r="J493" s="146"/>
      <c r="K493" s="146"/>
      <c r="L493" s="146"/>
      <c r="M493" s="146"/>
      <c r="N493" s="146"/>
      <c r="O493" s="146"/>
      <c r="P493" s="146"/>
      <c r="Q493" s="146"/>
      <c r="R493" s="146"/>
      <c r="S493" s="146"/>
      <c r="T493" s="146"/>
      <c r="U493" s="146"/>
      <c r="V493" s="146"/>
      <c r="W493" s="146"/>
      <c r="X493" s="146"/>
      <c r="Y493" s="146"/>
      <c r="Z493" s="146"/>
      <c r="AA493" s="146"/>
    </row>
    <row r="494" spans="1:27" ht="15.75" customHeight="1" x14ac:dyDescent="0.25">
      <c r="A494" s="146"/>
      <c r="B494" s="146"/>
      <c r="C494" s="146"/>
      <c r="D494" s="146"/>
      <c r="E494" s="146"/>
      <c r="F494" s="146"/>
      <c r="G494" s="146"/>
      <c r="H494" s="146"/>
      <c r="I494" s="146"/>
      <c r="J494" s="146"/>
      <c r="K494" s="146"/>
      <c r="L494" s="146"/>
      <c r="M494" s="146"/>
      <c r="N494" s="146"/>
      <c r="O494" s="146"/>
      <c r="P494" s="146"/>
      <c r="Q494" s="146"/>
      <c r="R494" s="146"/>
      <c r="S494" s="146"/>
      <c r="T494" s="146"/>
      <c r="U494" s="146"/>
      <c r="V494" s="146"/>
      <c r="W494" s="146"/>
      <c r="X494" s="146"/>
      <c r="Y494" s="146"/>
      <c r="Z494" s="146"/>
      <c r="AA494" s="146"/>
    </row>
    <row r="495" spans="1:27" ht="15.75" customHeight="1" x14ac:dyDescent="0.25">
      <c r="A495" s="146"/>
      <c r="B495" s="146"/>
      <c r="C495" s="146"/>
      <c r="D495" s="146"/>
      <c r="E495" s="146"/>
      <c r="F495" s="146"/>
      <c r="G495" s="146"/>
      <c r="H495" s="146"/>
      <c r="I495" s="146"/>
      <c r="J495" s="146"/>
      <c r="K495" s="146"/>
      <c r="L495" s="146"/>
      <c r="M495" s="146"/>
      <c r="N495" s="146"/>
      <c r="O495" s="146"/>
      <c r="P495" s="146"/>
      <c r="Q495" s="146"/>
      <c r="R495" s="146"/>
      <c r="S495" s="146"/>
      <c r="T495" s="146"/>
      <c r="U495" s="146"/>
      <c r="V495" s="146"/>
      <c r="W495" s="146"/>
      <c r="X495" s="146"/>
      <c r="Y495" s="146"/>
      <c r="Z495" s="146"/>
      <c r="AA495" s="146"/>
    </row>
    <row r="496" spans="1:27" ht="15.75" customHeight="1" x14ac:dyDescent="0.25">
      <c r="A496" s="146"/>
      <c r="B496" s="146"/>
      <c r="C496" s="146"/>
      <c r="D496" s="146"/>
      <c r="E496" s="146"/>
      <c r="F496" s="146"/>
      <c r="G496" s="146"/>
      <c r="H496" s="146"/>
      <c r="I496" s="146"/>
      <c r="J496" s="146"/>
      <c r="K496" s="146"/>
      <c r="L496" s="146"/>
      <c r="M496" s="146"/>
      <c r="N496" s="146"/>
      <c r="O496" s="146"/>
      <c r="P496" s="146"/>
      <c r="Q496" s="146"/>
      <c r="R496" s="146"/>
      <c r="S496" s="146"/>
      <c r="T496" s="146"/>
      <c r="U496" s="146"/>
      <c r="V496" s="146"/>
      <c r="W496" s="146"/>
      <c r="X496" s="146"/>
      <c r="Y496" s="146"/>
      <c r="Z496" s="146"/>
      <c r="AA496" s="146"/>
    </row>
    <row r="497" spans="1:27" ht="15.75" customHeight="1" x14ac:dyDescent="0.25">
      <c r="A497" s="146"/>
      <c r="B497" s="146"/>
      <c r="C497" s="146"/>
      <c r="D497" s="146"/>
      <c r="E497" s="146"/>
      <c r="F497" s="146"/>
      <c r="G497" s="146"/>
      <c r="H497" s="146"/>
      <c r="I497" s="146"/>
      <c r="J497" s="146"/>
      <c r="K497" s="146"/>
      <c r="L497" s="146"/>
      <c r="M497" s="146"/>
      <c r="N497" s="146"/>
      <c r="O497" s="146"/>
      <c r="P497" s="146"/>
      <c r="Q497" s="146"/>
      <c r="R497" s="146"/>
      <c r="S497" s="146"/>
      <c r="T497" s="146"/>
      <c r="U497" s="146"/>
      <c r="V497" s="146"/>
      <c r="W497" s="146"/>
      <c r="X497" s="146"/>
      <c r="Y497" s="146"/>
      <c r="Z497" s="146"/>
      <c r="AA497" s="146"/>
    </row>
    <row r="498" spans="1:27" ht="15.75" customHeight="1" x14ac:dyDescent="0.25">
      <c r="A498" s="146"/>
      <c r="B498" s="146"/>
      <c r="C498" s="146"/>
      <c r="D498" s="146"/>
      <c r="E498" s="146"/>
      <c r="F498" s="146"/>
      <c r="G498" s="146"/>
      <c r="H498" s="146"/>
      <c r="I498" s="146"/>
      <c r="J498" s="146"/>
      <c r="K498" s="146"/>
      <c r="L498" s="146"/>
      <c r="M498" s="146"/>
      <c r="N498" s="146"/>
      <c r="O498" s="146"/>
      <c r="P498" s="146"/>
      <c r="Q498" s="146"/>
      <c r="R498" s="146"/>
      <c r="S498" s="146"/>
      <c r="T498" s="146"/>
      <c r="U498" s="146"/>
      <c r="V498" s="146"/>
      <c r="W498" s="146"/>
      <c r="X498" s="146"/>
      <c r="Y498" s="146"/>
      <c r="Z498" s="146"/>
      <c r="AA498" s="146"/>
    </row>
    <row r="499" spans="1:27" ht="15.75" customHeight="1" x14ac:dyDescent="0.25">
      <c r="A499" s="146"/>
      <c r="B499" s="146"/>
      <c r="C499" s="146"/>
      <c r="D499" s="146"/>
      <c r="E499" s="146"/>
      <c r="F499" s="146"/>
      <c r="G499" s="146"/>
      <c r="H499" s="146"/>
      <c r="I499" s="146"/>
      <c r="J499" s="146"/>
      <c r="K499" s="146"/>
      <c r="L499" s="146"/>
      <c r="M499" s="146"/>
      <c r="N499" s="146"/>
      <c r="O499" s="146"/>
      <c r="P499" s="146"/>
      <c r="Q499" s="146"/>
      <c r="R499" s="146"/>
      <c r="S499" s="146"/>
      <c r="T499" s="146"/>
      <c r="U499" s="146"/>
      <c r="V499" s="146"/>
      <c r="W499" s="146"/>
      <c r="X499" s="146"/>
      <c r="Y499" s="146"/>
      <c r="Z499" s="146"/>
      <c r="AA499" s="146"/>
    </row>
    <row r="500" spans="1:27" ht="15.75" customHeight="1" x14ac:dyDescent="0.25">
      <c r="A500" s="146"/>
      <c r="B500" s="146"/>
      <c r="C500" s="146"/>
      <c r="D500" s="146"/>
      <c r="E500" s="146"/>
      <c r="F500" s="146"/>
      <c r="G500" s="146"/>
      <c r="H500" s="146"/>
      <c r="I500" s="146"/>
      <c r="J500" s="146"/>
      <c r="K500" s="146"/>
      <c r="L500" s="146"/>
      <c r="M500" s="146"/>
      <c r="N500" s="146"/>
      <c r="O500" s="146"/>
      <c r="P500" s="146"/>
      <c r="Q500" s="146"/>
      <c r="R500" s="146"/>
      <c r="S500" s="146"/>
      <c r="T500" s="146"/>
      <c r="U500" s="146"/>
      <c r="V500" s="146"/>
      <c r="W500" s="146"/>
      <c r="X500" s="146"/>
      <c r="Y500" s="146"/>
      <c r="Z500" s="146"/>
      <c r="AA500" s="146"/>
    </row>
    <row r="501" spans="1:27" ht="15.75" customHeight="1" x14ac:dyDescent="0.25">
      <c r="A501" s="146"/>
      <c r="B501" s="146"/>
      <c r="C501" s="146"/>
      <c r="D501" s="146"/>
      <c r="E501" s="146"/>
      <c r="F501" s="146"/>
      <c r="G501" s="146"/>
      <c r="H501" s="146"/>
      <c r="I501" s="146"/>
      <c r="J501" s="146"/>
      <c r="K501" s="146"/>
      <c r="L501" s="146"/>
      <c r="M501" s="146"/>
      <c r="N501" s="146"/>
      <c r="O501" s="146"/>
      <c r="P501" s="146"/>
      <c r="Q501" s="146"/>
      <c r="R501" s="146"/>
      <c r="S501" s="146"/>
      <c r="T501" s="146"/>
      <c r="U501" s="146"/>
      <c r="V501" s="146"/>
      <c r="W501" s="146"/>
      <c r="X501" s="146"/>
      <c r="Y501" s="146"/>
      <c r="Z501" s="146"/>
      <c r="AA501" s="146"/>
    </row>
    <row r="502" spans="1:27" ht="15.75" customHeight="1" x14ac:dyDescent="0.25">
      <c r="A502" s="146"/>
      <c r="B502" s="146"/>
      <c r="C502" s="146"/>
      <c r="D502" s="146"/>
      <c r="E502" s="146"/>
      <c r="F502" s="146"/>
      <c r="G502" s="146"/>
      <c r="H502" s="146"/>
      <c r="I502" s="146"/>
      <c r="J502" s="146"/>
      <c r="K502" s="146"/>
      <c r="L502" s="146"/>
      <c r="M502" s="146"/>
      <c r="N502" s="146"/>
      <c r="O502" s="146"/>
      <c r="P502" s="146"/>
      <c r="Q502" s="146"/>
      <c r="R502" s="146"/>
      <c r="S502" s="146"/>
      <c r="T502" s="146"/>
      <c r="U502" s="146"/>
      <c r="V502" s="146"/>
      <c r="W502" s="146"/>
      <c r="X502" s="146"/>
      <c r="Y502" s="146"/>
      <c r="Z502" s="146"/>
      <c r="AA502" s="146"/>
    </row>
    <row r="503" spans="1:27" ht="15.75" customHeight="1" x14ac:dyDescent="0.25">
      <c r="A503" s="146"/>
      <c r="B503" s="146"/>
      <c r="C503" s="146"/>
      <c r="D503" s="146"/>
      <c r="E503" s="146"/>
      <c r="F503" s="146"/>
      <c r="G503" s="146"/>
      <c r="H503" s="146"/>
      <c r="I503" s="146"/>
      <c r="J503" s="146"/>
      <c r="K503" s="146"/>
      <c r="L503" s="146"/>
      <c r="M503" s="146"/>
      <c r="N503" s="146"/>
      <c r="O503" s="146"/>
      <c r="P503" s="146"/>
      <c r="Q503" s="146"/>
      <c r="R503" s="146"/>
      <c r="S503" s="146"/>
      <c r="T503" s="146"/>
      <c r="U503" s="146"/>
      <c r="V503" s="146"/>
      <c r="W503" s="146"/>
      <c r="X503" s="146"/>
      <c r="Y503" s="146"/>
      <c r="Z503" s="146"/>
      <c r="AA503" s="146"/>
    </row>
    <row r="504" spans="1:27" ht="15.75" customHeight="1" x14ac:dyDescent="0.25">
      <c r="A504" s="146"/>
      <c r="B504" s="146"/>
      <c r="C504" s="146"/>
      <c r="D504" s="146"/>
      <c r="E504" s="146"/>
      <c r="F504" s="146"/>
      <c r="G504" s="146"/>
      <c r="H504" s="146"/>
      <c r="I504" s="146"/>
      <c r="J504" s="146"/>
      <c r="K504" s="146"/>
      <c r="L504" s="146"/>
      <c r="M504" s="146"/>
      <c r="N504" s="146"/>
      <c r="O504" s="146"/>
      <c r="P504" s="146"/>
      <c r="Q504" s="146"/>
      <c r="R504" s="146"/>
      <c r="S504" s="146"/>
      <c r="T504" s="146"/>
      <c r="U504" s="146"/>
      <c r="V504" s="146"/>
      <c r="W504" s="146"/>
      <c r="X504" s="146"/>
      <c r="Y504" s="146"/>
      <c r="Z504" s="146"/>
      <c r="AA504" s="146"/>
    </row>
    <row r="505" spans="1:27" ht="15.75" customHeight="1" x14ac:dyDescent="0.25">
      <c r="A505" s="146"/>
      <c r="B505" s="146"/>
      <c r="C505" s="146"/>
      <c r="D505" s="146"/>
      <c r="E505" s="146"/>
      <c r="F505" s="146"/>
      <c r="G505" s="146"/>
      <c r="H505" s="146"/>
      <c r="I505" s="146"/>
      <c r="J505" s="146"/>
      <c r="K505" s="146"/>
      <c r="L505" s="146"/>
      <c r="M505" s="146"/>
      <c r="N505" s="146"/>
      <c r="O505" s="146"/>
      <c r="P505" s="146"/>
      <c r="Q505" s="146"/>
      <c r="R505" s="146"/>
      <c r="S505" s="146"/>
      <c r="T505" s="146"/>
      <c r="U505" s="146"/>
      <c r="V505" s="146"/>
      <c r="W505" s="146"/>
      <c r="X505" s="146"/>
      <c r="Y505" s="146"/>
      <c r="Z505" s="146"/>
      <c r="AA505" s="146"/>
    </row>
    <row r="506" spans="1:27" ht="15.75" customHeight="1" x14ac:dyDescent="0.25">
      <c r="A506" s="146"/>
      <c r="B506" s="146"/>
      <c r="C506" s="146"/>
      <c r="D506" s="146"/>
      <c r="E506" s="146"/>
      <c r="F506" s="146"/>
      <c r="G506" s="146"/>
      <c r="H506" s="146"/>
      <c r="I506" s="146"/>
      <c r="J506" s="146"/>
      <c r="K506" s="146"/>
      <c r="L506" s="146"/>
      <c r="M506" s="146"/>
      <c r="N506" s="146"/>
      <c r="O506" s="146"/>
      <c r="P506" s="146"/>
      <c r="Q506" s="146"/>
      <c r="R506" s="146"/>
      <c r="S506" s="146"/>
      <c r="T506" s="146"/>
      <c r="U506" s="146"/>
      <c r="V506" s="146"/>
      <c r="W506" s="146"/>
      <c r="X506" s="146"/>
      <c r="Y506" s="146"/>
      <c r="Z506" s="146"/>
      <c r="AA506" s="146"/>
    </row>
    <row r="507" spans="1:27" ht="15.75" customHeight="1" x14ac:dyDescent="0.25">
      <c r="A507" s="146"/>
      <c r="B507" s="146"/>
      <c r="C507" s="146"/>
      <c r="D507" s="146"/>
      <c r="E507" s="146"/>
      <c r="F507" s="146"/>
      <c r="G507" s="146"/>
      <c r="H507" s="146"/>
      <c r="I507" s="146"/>
      <c r="J507" s="146"/>
      <c r="K507" s="146"/>
      <c r="L507" s="146"/>
      <c r="M507" s="146"/>
      <c r="N507" s="146"/>
      <c r="O507" s="146"/>
      <c r="P507" s="146"/>
      <c r="Q507" s="146"/>
      <c r="R507" s="146"/>
      <c r="S507" s="146"/>
      <c r="T507" s="146"/>
      <c r="U507" s="146"/>
      <c r="V507" s="146"/>
      <c r="W507" s="146"/>
      <c r="X507" s="146"/>
      <c r="Y507" s="146"/>
      <c r="Z507" s="146"/>
      <c r="AA507" s="146"/>
    </row>
    <row r="508" spans="1:27" ht="15.75" customHeight="1" x14ac:dyDescent="0.25">
      <c r="A508" s="146"/>
      <c r="B508" s="146"/>
      <c r="C508" s="146"/>
      <c r="D508" s="146"/>
      <c r="E508" s="146"/>
      <c r="F508" s="146"/>
      <c r="G508" s="146"/>
      <c r="H508" s="146"/>
      <c r="I508" s="146"/>
      <c r="J508" s="146"/>
      <c r="K508" s="146"/>
      <c r="L508" s="146"/>
      <c r="M508" s="146"/>
      <c r="N508" s="146"/>
      <c r="O508" s="146"/>
      <c r="P508" s="146"/>
      <c r="Q508" s="146"/>
      <c r="R508" s="146"/>
      <c r="S508" s="146"/>
      <c r="T508" s="146"/>
      <c r="U508" s="146"/>
      <c r="V508" s="146"/>
      <c r="W508" s="146"/>
      <c r="X508" s="146"/>
      <c r="Y508" s="146"/>
      <c r="Z508" s="146"/>
      <c r="AA508" s="146"/>
    </row>
    <row r="509" spans="1:27" ht="15.75" customHeight="1" x14ac:dyDescent="0.25">
      <c r="A509" s="146"/>
      <c r="B509" s="146"/>
      <c r="C509" s="146"/>
      <c r="D509" s="146"/>
      <c r="E509" s="146"/>
      <c r="F509" s="146"/>
      <c r="G509" s="146"/>
      <c r="H509" s="146"/>
      <c r="I509" s="146"/>
      <c r="J509" s="146"/>
      <c r="K509" s="146"/>
      <c r="L509" s="146"/>
      <c r="M509" s="146"/>
      <c r="N509" s="146"/>
      <c r="O509" s="146"/>
      <c r="P509" s="146"/>
      <c r="Q509" s="146"/>
      <c r="R509" s="146"/>
      <c r="S509" s="146"/>
      <c r="T509" s="146"/>
      <c r="U509" s="146"/>
      <c r="V509" s="146"/>
      <c r="W509" s="146"/>
      <c r="X509" s="146"/>
      <c r="Y509" s="146"/>
      <c r="Z509" s="146"/>
      <c r="AA509" s="146"/>
    </row>
    <row r="510" spans="1:27" ht="15.75" customHeight="1" x14ac:dyDescent="0.25">
      <c r="A510" s="146"/>
      <c r="B510" s="146"/>
      <c r="C510" s="146"/>
      <c r="D510" s="146"/>
      <c r="E510" s="146"/>
      <c r="F510" s="146"/>
      <c r="G510" s="146"/>
      <c r="H510" s="146"/>
      <c r="I510" s="146"/>
      <c r="J510" s="146"/>
      <c r="K510" s="146"/>
      <c r="L510" s="146"/>
      <c r="M510" s="146"/>
      <c r="N510" s="146"/>
      <c r="O510" s="146"/>
      <c r="P510" s="146"/>
      <c r="Q510" s="146"/>
      <c r="R510" s="146"/>
      <c r="S510" s="146"/>
      <c r="T510" s="146"/>
      <c r="U510" s="146"/>
      <c r="V510" s="146"/>
      <c r="W510" s="146"/>
      <c r="X510" s="146"/>
      <c r="Y510" s="146"/>
      <c r="Z510" s="146"/>
      <c r="AA510" s="146"/>
    </row>
    <row r="511" spans="1:27" ht="15.75" customHeight="1" x14ac:dyDescent="0.25">
      <c r="A511" s="146"/>
      <c r="B511" s="146"/>
      <c r="C511" s="146"/>
      <c r="D511" s="146"/>
      <c r="E511" s="146"/>
      <c r="F511" s="146"/>
      <c r="G511" s="146"/>
      <c r="H511" s="146"/>
      <c r="I511" s="146"/>
      <c r="J511" s="146"/>
      <c r="K511" s="146"/>
      <c r="L511" s="146"/>
      <c r="M511" s="146"/>
      <c r="N511" s="146"/>
      <c r="O511" s="146"/>
      <c r="P511" s="146"/>
      <c r="Q511" s="146"/>
      <c r="R511" s="146"/>
      <c r="S511" s="146"/>
      <c r="T511" s="146"/>
      <c r="U511" s="146"/>
      <c r="V511" s="146"/>
      <c r="W511" s="146"/>
      <c r="X511" s="146"/>
      <c r="Y511" s="146"/>
      <c r="Z511" s="146"/>
      <c r="AA511" s="146"/>
    </row>
    <row r="512" spans="1:27" ht="15.75" customHeight="1" x14ac:dyDescent="0.25">
      <c r="A512" s="146"/>
      <c r="B512" s="146"/>
      <c r="C512" s="146"/>
      <c r="D512" s="146"/>
      <c r="E512" s="146"/>
      <c r="F512" s="146"/>
      <c r="G512" s="146"/>
      <c r="H512" s="146"/>
      <c r="I512" s="146"/>
      <c r="J512" s="146"/>
      <c r="K512" s="146"/>
      <c r="L512" s="146"/>
      <c r="M512" s="146"/>
      <c r="N512" s="146"/>
      <c r="O512" s="146"/>
      <c r="P512" s="146"/>
      <c r="Q512" s="146"/>
      <c r="R512" s="146"/>
      <c r="S512" s="146"/>
      <c r="T512" s="146"/>
      <c r="U512" s="146"/>
      <c r="V512" s="146"/>
      <c r="W512" s="146"/>
      <c r="X512" s="146"/>
      <c r="Y512" s="146"/>
      <c r="Z512" s="146"/>
      <c r="AA512" s="146"/>
    </row>
    <row r="513" spans="1:27" ht="15.75" customHeight="1" x14ac:dyDescent="0.25">
      <c r="A513" s="146"/>
      <c r="B513" s="146"/>
      <c r="C513" s="146"/>
      <c r="D513" s="146"/>
      <c r="E513" s="146"/>
      <c r="F513" s="146"/>
      <c r="G513" s="146"/>
      <c r="H513" s="146"/>
      <c r="I513" s="146"/>
      <c r="J513" s="146"/>
      <c r="K513" s="146"/>
      <c r="L513" s="146"/>
      <c r="M513" s="146"/>
      <c r="N513" s="146"/>
      <c r="O513" s="146"/>
      <c r="P513" s="146"/>
      <c r="Q513" s="146"/>
      <c r="R513" s="146"/>
      <c r="S513" s="146"/>
      <c r="T513" s="146"/>
      <c r="U513" s="146"/>
      <c r="V513" s="146"/>
      <c r="W513" s="146"/>
      <c r="X513" s="146"/>
      <c r="Y513" s="146"/>
      <c r="Z513" s="146"/>
      <c r="AA513" s="146"/>
    </row>
    <row r="514" spans="1:27" ht="15.75" customHeight="1" x14ac:dyDescent="0.25">
      <c r="A514" s="146"/>
      <c r="B514" s="146"/>
      <c r="C514" s="146"/>
      <c r="D514" s="146"/>
      <c r="E514" s="146"/>
      <c r="F514" s="146"/>
      <c r="G514" s="146"/>
      <c r="H514" s="146"/>
      <c r="I514" s="146"/>
      <c r="J514" s="146"/>
      <c r="K514" s="146"/>
      <c r="L514" s="146"/>
      <c r="M514" s="146"/>
      <c r="N514" s="146"/>
      <c r="O514" s="146"/>
      <c r="P514" s="146"/>
      <c r="Q514" s="146"/>
      <c r="R514" s="146"/>
      <c r="S514" s="146"/>
      <c r="T514" s="146"/>
      <c r="U514" s="146"/>
      <c r="V514" s="146"/>
      <c r="W514" s="146"/>
      <c r="X514" s="146"/>
      <c r="Y514" s="146"/>
      <c r="Z514" s="146"/>
      <c r="AA514" s="146"/>
    </row>
    <row r="515" spans="1:27" ht="15.75" customHeight="1" x14ac:dyDescent="0.25">
      <c r="A515" s="146"/>
      <c r="B515" s="146"/>
      <c r="C515" s="146"/>
      <c r="D515" s="146"/>
      <c r="E515" s="146"/>
      <c r="F515" s="146"/>
      <c r="G515" s="146"/>
      <c r="H515" s="146"/>
      <c r="I515" s="146"/>
      <c r="J515" s="146"/>
      <c r="K515" s="146"/>
      <c r="L515" s="146"/>
      <c r="M515" s="146"/>
      <c r="N515" s="146"/>
      <c r="O515" s="146"/>
      <c r="P515" s="146"/>
      <c r="Q515" s="146"/>
      <c r="R515" s="146"/>
      <c r="S515" s="146"/>
      <c r="T515" s="146"/>
      <c r="U515" s="146"/>
      <c r="V515" s="146"/>
      <c r="W515" s="146"/>
      <c r="X515" s="146"/>
      <c r="Y515" s="146"/>
      <c r="Z515" s="146"/>
      <c r="AA515" s="146"/>
    </row>
    <row r="516" spans="1:27" ht="15.75" customHeight="1" x14ac:dyDescent="0.25">
      <c r="A516" s="146"/>
      <c r="B516" s="146"/>
      <c r="C516" s="146"/>
      <c r="D516" s="146"/>
      <c r="E516" s="146"/>
      <c r="F516" s="146"/>
      <c r="G516" s="146"/>
      <c r="H516" s="146"/>
      <c r="I516" s="146"/>
      <c r="J516" s="146"/>
      <c r="K516" s="146"/>
      <c r="L516" s="146"/>
      <c r="M516" s="146"/>
      <c r="N516" s="146"/>
      <c r="O516" s="146"/>
      <c r="P516" s="146"/>
      <c r="Q516" s="146"/>
      <c r="R516" s="146"/>
      <c r="S516" s="146"/>
      <c r="T516" s="146"/>
      <c r="U516" s="146"/>
      <c r="V516" s="146"/>
      <c r="W516" s="146"/>
      <c r="X516" s="146"/>
      <c r="Y516" s="146"/>
      <c r="Z516" s="146"/>
      <c r="AA516" s="146"/>
    </row>
    <row r="517" spans="1:27" ht="15.75" customHeight="1" x14ac:dyDescent="0.25">
      <c r="A517" s="146"/>
      <c r="B517" s="146"/>
      <c r="C517" s="146"/>
      <c r="D517" s="146"/>
      <c r="E517" s="146"/>
      <c r="F517" s="146"/>
      <c r="G517" s="146"/>
      <c r="H517" s="146"/>
      <c r="I517" s="146"/>
      <c r="J517" s="146"/>
      <c r="K517" s="146"/>
      <c r="L517" s="146"/>
      <c r="M517" s="146"/>
      <c r="N517" s="146"/>
      <c r="O517" s="146"/>
      <c r="P517" s="146"/>
      <c r="Q517" s="146"/>
      <c r="R517" s="146"/>
      <c r="S517" s="146"/>
      <c r="T517" s="146"/>
      <c r="U517" s="146"/>
      <c r="V517" s="146"/>
      <c r="W517" s="146"/>
      <c r="X517" s="146"/>
      <c r="Y517" s="146"/>
      <c r="Z517" s="146"/>
      <c r="AA517" s="146"/>
    </row>
    <row r="518" spans="1:27" ht="15.75" customHeight="1" x14ac:dyDescent="0.25">
      <c r="A518" s="146"/>
      <c r="B518" s="146"/>
      <c r="C518" s="146"/>
      <c r="D518" s="146"/>
      <c r="E518" s="146"/>
      <c r="F518" s="146"/>
      <c r="G518" s="146"/>
      <c r="H518" s="146"/>
      <c r="I518" s="146"/>
      <c r="J518" s="146"/>
      <c r="K518" s="146"/>
      <c r="L518" s="146"/>
      <c r="M518" s="146"/>
      <c r="N518" s="146"/>
      <c r="O518" s="146"/>
      <c r="P518" s="146"/>
      <c r="Q518" s="146"/>
      <c r="R518" s="146"/>
      <c r="S518" s="146"/>
      <c r="T518" s="146"/>
      <c r="U518" s="146"/>
      <c r="V518" s="146"/>
      <c r="W518" s="146"/>
      <c r="X518" s="146"/>
      <c r="Y518" s="146"/>
      <c r="Z518" s="146"/>
      <c r="AA518" s="146"/>
    </row>
    <row r="519" spans="1:27" ht="15.75" customHeight="1" x14ac:dyDescent="0.25">
      <c r="A519" s="146"/>
      <c r="B519" s="146"/>
      <c r="C519" s="146"/>
      <c r="D519" s="146"/>
      <c r="E519" s="146"/>
      <c r="F519" s="146"/>
      <c r="G519" s="146"/>
      <c r="H519" s="146"/>
      <c r="I519" s="146"/>
      <c r="J519" s="146"/>
      <c r="K519" s="146"/>
      <c r="L519" s="146"/>
      <c r="M519" s="146"/>
      <c r="N519" s="146"/>
      <c r="O519" s="146"/>
      <c r="P519" s="146"/>
      <c r="Q519" s="146"/>
      <c r="R519" s="146"/>
      <c r="S519" s="146"/>
      <c r="T519" s="146"/>
      <c r="U519" s="146"/>
      <c r="V519" s="146"/>
      <c r="W519" s="146"/>
      <c r="X519" s="146"/>
      <c r="Y519" s="146"/>
      <c r="Z519" s="146"/>
      <c r="AA519" s="146"/>
    </row>
    <row r="520" spans="1:27" ht="15.75" customHeight="1" x14ac:dyDescent="0.25">
      <c r="A520" s="146"/>
      <c r="B520" s="146"/>
      <c r="C520" s="146"/>
      <c r="D520" s="146"/>
      <c r="E520" s="146"/>
      <c r="F520" s="146"/>
      <c r="G520" s="146"/>
      <c r="H520" s="146"/>
      <c r="I520" s="146"/>
      <c r="J520" s="146"/>
      <c r="K520" s="146"/>
      <c r="L520" s="146"/>
      <c r="M520" s="146"/>
      <c r="N520" s="146"/>
      <c r="O520" s="146"/>
      <c r="P520" s="146"/>
      <c r="Q520" s="146"/>
      <c r="R520" s="146"/>
      <c r="S520" s="146"/>
      <c r="T520" s="146"/>
      <c r="U520" s="146"/>
      <c r="V520" s="146"/>
      <c r="W520" s="146"/>
      <c r="X520" s="146"/>
      <c r="Y520" s="146"/>
      <c r="Z520" s="146"/>
      <c r="AA520" s="146"/>
    </row>
    <row r="521" spans="1:27" ht="15.75" customHeight="1" x14ac:dyDescent="0.25">
      <c r="A521" s="146"/>
      <c r="B521" s="146"/>
      <c r="C521" s="146"/>
      <c r="D521" s="146"/>
      <c r="E521" s="146"/>
      <c r="F521" s="146"/>
      <c r="G521" s="146"/>
      <c r="H521" s="146"/>
      <c r="I521" s="146"/>
      <c r="J521" s="146"/>
      <c r="K521" s="146"/>
      <c r="L521" s="146"/>
      <c r="M521" s="146"/>
      <c r="N521" s="146"/>
      <c r="O521" s="146"/>
      <c r="P521" s="146"/>
      <c r="Q521" s="146"/>
      <c r="R521" s="146"/>
      <c r="S521" s="146"/>
      <c r="T521" s="146"/>
      <c r="U521" s="146"/>
      <c r="V521" s="146"/>
      <c r="W521" s="146"/>
      <c r="X521" s="146"/>
      <c r="Y521" s="146"/>
      <c r="Z521" s="146"/>
      <c r="AA521" s="146"/>
    </row>
    <row r="522" spans="1:27" ht="15.75" customHeight="1" x14ac:dyDescent="0.25">
      <c r="A522" s="146"/>
      <c r="B522" s="146"/>
      <c r="C522" s="146"/>
      <c r="D522" s="146"/>
      <c r="E522" s="146"/>
      <c r="F522" s="146"/>
      <c r="G522" s="146"/>
      <c r="H522" s="146"/>
      <c r="I522" s="146"/>
      <c r="J522" s="146"/>
      <c r="K522" s="146"/>
      <c r="L522" s="146"/>
      <c r="M522" s="146"/>
      <c r="N522" s="146"/>
      <c r="O522" s="146"/>
      <c r="P522" s="146"/>
      <c r="Q522" s="146"/>
      <c r="R522" s="146"/>
      <c r="S522" s="146"/>
      <c r="T522" s="146"/>
      <c r="U522" s="146"/>
      <c r="V522" s="146"/>
      <c r="W522" s="146"/>
      <c r="X522" s="146"/>
      <c r="Y522" s="146"/>
      <c r="Z522" s="146"/>
      <c r="AA522" s="146"/>
    </row>
    <row r="523" spans="1:27" ht="15.75" customHeight="1" x14ac:dyDescent="0.25">
      <c r="A523" s="146"/>
      <c r="B523" s="146"/>
      <c r="C523" s="146"/>
      <c r="D523" s="146"/>
      <c r="E523" s="146"/>
      <c r="F523" s="146"/>
      <c r="G523" s="146"/>
      <c r="H523" s="146"/>
      <c r="I523" s="146"/>
      <c r="J523" s="146"/>
      <c r="K523" s="146"/>
      <c r="L523" s="146"/>
      <c r="M523" s="146"/>
      <c r="N523" s="146"/>
      <c r="O523" s="146"/>
      <c r="P523" s="146"/>
      <c r="Q523" s="146"/>
      <c r="R523" s="146"/>
      <c r="S523" s="146"/>
      <c r="T523" s="146"/>
      <c r="U523" s="146"/>
      <c r="V523" s="146"/>
      <c r="W523" s="146"/>
      <c r="X523" s="146"/>
      <c r="Y523" s="146"/>
      <c r="Z523" s="146"/>
      <c r="AA523" s="146"/>
    </row>
    <row r="524" spans="1:27" ht="15.75" customHeight="1" x14ac:dyDescent="0.25">
      <c r="A524" s="146"/>
      <c r="B524" s="146"/>
      <c r="C524" s="146"/>
      <c r="D524" s="146"/>
      <c r="E524" s="146"/>
      <c r="F524" s="146"/>
      <c r="G524" s="146"/>
      <c r="H524" s="146"/>
      <c r="I524" s="146"/>
      <c r="J524" s="146"/>
      <c r="K524" s="146"/>
      <c r="L524" s="146"/>
      <c r="M524" s="146"/>
      <c r="N524" s="146"/>
      <c r="O524" s="146"/>
      <c r="P524" s="146"/>
      <c r="Q524" s="146"/>
      <c r="R524" s="146"/>
      <c r="S524" s="146"/>
      <c r="T524" s="146"/>
      <c r="U524" s="146"/>
      <c r="V524" s="146"/>
      <c r="W524" s="146"/>
      <c r="X524" s="146"/>
      <c r="Y524" s="146"/>
      <c r="Z524" s="146"/>
      <c r="AA524" s="146"/>
    </row>
    <row r="525" spans="1:27" ht="15.75" customHeight="1" x14ac:dyDescent="0.25">
      <c r="A525" s="146"/>
      <c r="B525" s="146"/>
      <c r="C525" s="146"/>
      <c r="D525" s="146"/>
      <c r="E525" s="146"/>
      <c r="F525" s="146"/>
      <c r="G525" s="146"/>
      <c r="H525" s="146"/>
      <c r="I525" s="146"/>
      <c r="J525" s="146"/>
      <c r="K525" s="146"/>
      <c r="L525" s="146"/>
      <c r="M525" s="146"/>
      <c r="N525" s="146"/>
      <c r="O525" s="146"/>
      <c r="P525" s="146"/>
      <c r="Q525" s="146"/>
      <c r="R525" s="146"/>
      <c r="S525" s="146"/>
      <c r="T525" s="146"/>
      <c r="U525" s="146"/>
      <c r="V525" s="146"/>
      <c r="W525" s="146"/>
      <c r="X525" s="146"/>
      <c r="Y525" s="146"/>
      <c r="Z525" s="146"/>
      <c r="AA525" s="146"/>
    </row>
    <row r="526" spans="1:27" ht="15.75" customHeight="1" x14ac:dyDescent="0.25">
      <c r="A526" s="146"/>
      <c r="B526" s="146"/>
      <c r="C526" s="146"/>
      <c r="D526" s="146"/>
      <c r="E526" s="146"/>
      <c r="F526" s="146"/>
      <c r="G526" s="146"/>
      <c r="H526" s="146"/>
      <c r="I526" s="146"/>
      <c r="J526" s="146"/>
      <c r="K526" s="146"/>
      <c r="L526" s="146"/>
      <c r="M526" s="146"/>
      <c r="N526" s="146"/>
      <c r="O526" s="146"/>
      <c r="P526" s="146"/>
      <c r="Q526" s="146"/>
      <c r="R526" s="146"/>
      <c r="S526" s="146"/>
      <c r="T526" s="146"/>
      <c r="U526" s="146"/>
      <c r="V526" s="146"/>
      <c r="W526" s="146"/>
      <c r="X526" s="146"/>
      <c r="Y526" s="146"/>
      <c r="Z526" s="146"/>
      <c r="AA526" s="146"/>
    </row>
    <row r="527" spans="1:27" ht="15.75" customHeight="1" x14ac:dyDescent="0.25">
      <c r="A527" s="146"/>
      <c r="B527" s="146"/>
      <c r="C527" s="146"/>
      <c r="D527" s="146"/>
      <c r="E527" s="146"/>
      <c r="F527" s="146"/>
      <c r="G527" s="146"/>
      <c r="H527" s="146"/>
      <c r="I527" s="146"/>
      <c r="J527" s="146"/>
      <c r="K527" s="146"/>
      <c r="L527" s="146"/>
      <c r="M527" s="146"/>
      <c r="N527" s="146"/>
      <c r="O527" s="146"/>
      <c r="P527" s="146"/>
      <c r="Q527" s="146"/>
      <c r="R527" s="146"/>
      <c r="S527" s="146"/>
      <c r="T527" s="146"/>
      <c r="U527" s="146"/>
      <c r="V527" s="146"/>
      <c r="W527" s="146"/>
      <c r="X527" s="146"/>
      <c r="Y527" s="146"/>
      <c r="Z527" s="146"/>
      <c r="AA527" s="146"/>
    </row>
    <row r="528" spans="1:27" ht="15.75" customHeight="1" x14ac:dyDescent="0.25">
      <c r="A528" s="146"/>
      <c r="B528" s="146"/>
      <c r="C528" s="146"/>
      <c r="D528" s="146"/>
      <c r="E528" s="146"/>
      <c r="F528" s="146"/>
      <c r="G528" s="146"/>
      <c r="H528" s="146"/>
      <c r="I528" s="146"/>
      <c r="J528" s="146"/>
      <c r="K528" s="146"/>
      <c r="L528" s="146"/>
      <c r="M528" s="146"/>
      <c r="N528" s="146"/>
      <c r="O528" s="146"/>
      <c r="P528" s="146"/>
      <c r="Q528" s="146"/>
      <c r="R528" s="146"/>
      <c r="S528" s="146"/>
      <c r="T528" s="146"/>
      <c r="U528" s="146"/>
      <c r="V528" s="146"/>
      <c r="W528" s="146"/>
      <c r="X528" s="146"/>
      <c r="Y528" s="146"/>
      <c r="Z528" s="146"/>
      <c r="AA528" s="146"/>
    </row>
    <row r="529" spans="1:27" ht="15.75" customHeight="1" x14ac:dyDescent="0.25">
      <c r="A529" s="146"/>
      <c r="B529" s="146"/>
      <c r="C529" s="146"/>
      <c r="D529" s="146"/>
      <c r="E529" s="146"/>
      <c r="F529" s="146"/>
      <c r="G529" s="146"/>
      <c r="H529" s="146"/>
      <c r="I529" s="146"/>
      <c r="J529" s="146"/>
      <c r="K529" s="146"/>
      <c r="L529" s="146"/>
      <c r="M529" s="146"/>
      <c r="N529" s="146"/>
      <c r="O529" s="146"/>
      <c r="P529" s="146"/>
      <c r="Q529" s="146"/>
      <c r="R529" s="146"/>
      <c r="S529" s="146"/>
      <c r="T529" s="146"/>
      <c r="U529" s="146"/>
      <c r="V529" s="146"/>
      <c r="W529" s="146"/>
      <c r="X529" s="146"/>
      <c r="Y529" s="146"/>
      <c r="Z529" s="146"/>
      <c r="AA529" s="146"/>
    </row>
    <row r="530" spans="1:27" ht="15.75" customHeight="1" x14ac:dyDescent="0.25">
      <c r="A530" s="146"/>
      <c r="B530" s="146"/>
      <c r="C530" s="146"/>
      <c r="D530" s="146"/>
      <c r="E530" s="146"/>
      <c r="F530" s="146"/>
      <c r="G530" s="146"/>
      <c r="H530" s="146"/>
      <c r="I530" s="146"/>
      <c r="J530" s="146"/>
      <c r="K530" s="146"/>
      <c r="L530" s="146"/>
      <c r="M530" s="146"/>
      <c r="N530" s="146"/>
      <c r="O530" s="146"/>
      <c r="P530" s="146"/>
      <c r="Q530" s="146"/>
      <c r="R530" s="146"/>
      <c r="S530" s="146"/>
      <c r="T530" s="146"/>
      <c r="U530" s="146"/>
      <c r="V530" s="146"/>
      <c r="W530" s="146"/>
      <c r="X530" s="146"/>
      <c r="Y530" s="146"/>
      <c r="Z530" s="146"/>
      <c r="AA530" s="146"/>
    </row>
    <row r="531" spans="1:27" ht="15.75" customHeight="1" x14ac:dyDescent="0.25">
      <c r="A531" s="146"/>
      <c r="B531" s="146"/>
      <c r="C531" s="146"/>
      <c r="D531" s="146"/>
      <c r="E531" s="146"/>
      <c r="F531" s="146"/>
      <c r="G531" s="146"/>
      <c r="H531" s="146"/>
      <c r="I531" s="146"/>
      <c r="J531" s="146"/>
      <c r="K531" s="146"/>
      <c r="L531" s="146"/>
      <c r="M531" s="146"/>
      <c r="N531" s="146"/>
      <c r="O531" s="146"/>
      <c r="P531" s="146"/>
      <c r="Q531" s="146"/>
      <c r="R531" s="146"/>
      <c r="S531" s="146"/>
      <c r="T531" s="146"/>
      <c r="U531" s="146"/>
      <c r="V531" s="146"/>
      <c r="W531" s="146"/>
      <c r="X531" s="146"/>
      <c r="Y531" s="146"/>
      <c r="Z531" s="146"/>
      <c r="AA531" s="146"/>
    </row>
    <row r="532" spans="1:27" ht="15.75" customHeight="1" x14ac:dyDescent="0.25">
      <c r="A532" s="146"/>
      <c r="B532" s="146"/>
      <c r="C532" s="146"/>
      <c r="D532" s="146"/>
      <c r="E532" s="146"/>
      <c r="F532" s="146"/>
      <c r="G532" s="146"/>
      <c r="H532" s="146"/>
      <c r="I532" s="146"/>
      <c r="J532" s="146"/>
      <c r="K532" s="146"/>
      <c r="L532" s="146"/>
      <c r="M532" s="146"/>
      <c r="N532" s="146"/>
      <c r="O532" s="146"/>
      <c r="P532" s="146"/>
      <c r="Q532" s="146"/>
      <c r="R532" s="146"/>
      <c r="S532" s="146"/>
      <c r="T532" s="146"/>
      <c r="U532" s="146"/>
      <c r="V532" s="146"/>
      <c r="W532" s="146"/>
      <c r="X532" s="146"/>
      <c r="Y532" s="146"/>
      <c r="Z532" s="146"/>
      <c r="AA532" s="146"/>
    </row>
    <row r="533" spans="1:27" ht="15.75" customHeight="1" x14ac:dyDescent="0.25">
      <c r="A533" s="146"/>
      <c r="B533" s="146"/>
      <c r="C533" s="146"/>
      <c r="D533" s="146"/>
      <c r="E533" s="146"/>
      <c r="F533" s="146"/>
      <c r="G533" s="146"/>
      <c r="H533" s="146"/>
      <c r="I533" s="146"/>
      <c r="J533" s="146"/>
      <c r="K533" s="146"/>
      <c r="L533" s="146"/>
      <c r="M533" s="146"/>
      <c r="N533" s="146"/>
      <c r="O533" s="146"/>
      <c r="P533" s="146"/>
      <c r="Q533" s="146"/>
      <c r="R533" s="146"/>
      <c r="S533" s="146"/>
      <c r="T533" s="146"/>
      <c r="U533" s="146"/>
      <c r="V533" s="146"/>
      <c r="W533" s="146"/>
      <c r="X533" s="146"/>
      <c r="Y533" s="146"/>
      <c r="Z533" s="146"/>
      <c r="AA533" s="146"/>
    </row>
    <row r="534" spans="1:27" ht="15.75" customHeight="1" x14ac:dyDescent="0.25">
      <c r="A534" s="146"/>
      <c r="B534" s="146"/>
      <c r="C534" s="146"/>
      <c r="D534" s="146"/>
      <c r="E534" s="146"/>
      <c r="F534" s="146"/>
      <c r="G534" s="146"/>
      <c r="H534" s="146"/>
      <c r="I534" s="146"/>
      <c r="J534" s="146"/>
      <c r="K534" s="146"/>
      <c r="L534" s="146"/>
      <c r="M534" s="146"/>
      <c r="N534" s="146"/>
      <c r="O534" s="146"/>
      <c r="P534" s="146"/>
      <c r="Q534" s="146"/>
      <c r="R534" s="146"/>
      <c r="S534" s="146"/>
      <c r="T534" s="146"/>
      <c r="U534" s="146"/>
      <c r="V534" s="146"/>
      <c r="W534" s="146"/>
      <c r="X534" s="146"/>
      <c r="Y534" s="146"/>
      <c r="Z534" s="146"/>
      <c r="AA534" s="146"/>
    </row>
    <row r="535" spans="1:27" ht="15.75" customHeight="1" x14ac:dyDescent="0.25">
      <c r="A535" s="146"/>
      <c r="B535" s="146"/>
      <c r="C535" s="146"/>
      <c r="D535" s="146"/>
      <c r="E535" s="146"/>
      <c r="F535" s="146"/>
      <c r="G535" s="146"/>
      <c r="H535" s="146"/>
      <c r="I535" s="146"/>
      <c r="J535" s="146"/>
      <c r="K535" s="146"/>
      <c r="L535" s="146"/>
      <c r="M535" s="146"/>
      <c r="N535" s="146"/>
      <c r="O535" s="146"/>
      <c r="P535" s="146"/>
      <c r="Q535" s="146"/>
      <c r="R535" s="146"/>
      <c r="S535" s="146"/>
      <c r="T535" s="146"/>
      <c r="U535" s="146"/>
      <c r="V535" s="146"/>
      <c r="W535" s="146"/>
      <c r="X535" s="146"/>
      <c r="Y535" s="146"/>
      <c r="Z535" s="146"/>
      <c r="AA535" s="146"/>
    </row>
    <row r="536" spans="1:27" ht="15.75" customHeight="1" x14ac:dyDescent="0.25">
      <c r="A536" s="146"/>
      <c r="B536" s="146"/>
      <c r="C536" s="146"/>
      <c r="D536" s="146"/>
      <c r="E536" s="146"/>
      <c r="F536" s="146"/>
      <c r="G536" s="146"/>
      <c r="H536" s="146"/>
      <c r="I536" s="146"/>
      <c r="J536" s="146"/>
      <c r="K536" s="146"/>
      <c r="L536" s="146"/>
      <c r="M536" s="146"/>
      <c r="N536" s="146"/>
      <c r="O536" s="146"/>
      <c r="P536" s="146"/>
      <c r="Q536" s="146"/>
      <c r="R536" s="146"/>
      <c r="S536" s="146"/>
      <c r="T536" s="146"/>
      <c r="U536" s="146"/>
      <c r="V536" s="146"/>
      <c r="W536" s="146"/>
      <c r="X536" s="146"/>
      <c r="Y536" s="146"/>
      <c r="Z536" s="146"/>
      <c r="AA536" s="146"/>
    </row>
    <row r="537" spans="1:27" ht="15.75" customHeight="1" x14ac:dyDescent="0.25">
      <c r="A537" s="146"/>
      <c r="B537" s="146"/>
      <c r="C537" s="146"/>
      <c r="D537" s="146"/>
      <c r="E537" s="146"/>
      <c r="F537" s="146"/>
      <c r="G537" s="146"/>
      <c r="H537" s="146"/>
      <c r="I537" s="146"/>
      <c r="J537" s="146"/>
      <c r="K537" s="146"/>
      <c r="L537" s="146"/>
      <c r="M537" s="146"/>
      <c r="N537" s="146"/>
      <c r="O537" s="146"/>
      <c r="P537" s="146"/>
      <c r="Q537" s="146"/>
      <c r="R537" s="146"/>
      <c r="S537" s="146"/>
      <c r="T537" s="146"/>
      <c r="U537" s="146"/>
      <c r="V537" s="146"/>
      <c r="W537" s="146"/>
      <c r="X537" s="146"/>
      <c r="Y537" s="146"/>
      <c r="Z537" s="146"/>
      <c r="AA537" s="146"/>
    </row>
    <row r="538" spans="1:27" ht="15.75" customHeight="1" x14ac:dyDescent="0.25">
      <c r="A538" s="146"/>
      <c r="B538" s="146"/>
      <c r="C538" s="146"/>
      <c r="D538" s="146"/>
      <c r="E538" s="146"/>
      <c r="F538" s="146"/>
      <c r="G538" s="146"/>
      <c r="H538" s="146"/>
      <c r="I538" s="146"/>
      <c r="J538" s="146"/>
      <c r="K538" s="146"/>
      <c r="L538" s="146"/>
      <c r="M538" s="146"/>
      <c r="N538" s="146"/>
      <c r="O538" s="146"/>
      <c r="P538" s="146"/>
      <c r="Q538" s="146"/>
      <c r="R538" s="146"/>
      <c r="S538" s="146"/>
      <c r="T538" s="146"/>
      <c r="U538" s="146"/>
      <c r="V538" s="146"/>
      <c r="W538" s="146"/>
      <c r="X538" s="146"/>
      <c r="Y538" s="146"/>
      <c r="Z538" s="146"/>
      <c r="AA538" s="146"/>
    </row>
    <row r="539" spans="1:27" ht="15.75" customHeight="1" x14ac:dyDescent="0.25">
      <c r="A539" s="146"/>
      <c r="B539" s="146"/>
      <c r="C539" s="146"/>
      <c r="D539" s="146"/>
      <c r="E539" s="146"/>
      <c r="F539" s="146"/>
      <c r="G539" s="146"/>
      <c r="H539" s="146"/>
      <c r="I539" s="146"/>
      <c r="J539" s="146"/>
      <c r="K539" s="146"/>
      <c r="L539" s="146"/>
      <c r="M539" s="146"/>
      <c r="N539" s="146"/>
      <c r="O539" s="146"/>
      <c r="P539" s="146"/>
      <c r="Q539" s="146"/>
      <c r="R539" s="146"/>
      <c r="S539" s="146"/>
      <c r="T539" s="146"/>
      <c r="U539" s="146"/>
      <c r="V539" s="146"/>
      <c r="W539" s="146"/>
      <c r="X539" s="146"/>
      <c r="Y539" s="146"/>
      <c r="Z539" s="146"/>
      <c r="AA539" s="146"/>
    </row>
    <row r="540" spans="1:27" ht="15.75" customHeight="1" x14ac:dyDescent="0.25">
      <c r="A540" s="146"/>
      <c r="B540" s="146"/>
      <c r="C540" s="146"/>
      <c r="D540" s="146"/>
      <c r="E540" s="146"/>
      <c r="F540" s="146"/>
      <c r="G540" s="146"/>
      <c r="H540" s="146"/>
      <c r="I540" s="146"/>
      <c r="J540" s="146"/>
      <c r="K540" s="146"/>
      <c r="L540" s="146"/>
      <c r="M540" s="146"/>
      <c r="N540" s="146"/>
      <c r="O540" s="146"/>
      <c r="P540" s="146"/>
      <c r="Q540" s="146"/>
      <c r="R540" s="146"/>
      <c r="S540" s="146"/>
      <c r="T540" s="146"/>
      <c r="U540" s="146"/>
      <c r="V540" s="146"/>
      <c r="W540" s="146"/>
      <c r="X540" s="146"/>
      <c r="Y540" s="146"/>
      <c r="Z540" s="146"/>
      <c r="AA540" s="146"/>
    </row>
    <row r="541" spans="1:27" ht="15.75" customHeight="1" x14ac:dyDescent="0.25">
      <c r="A541" s="146"/>
      <c r="B541" s="146"/>
      <c r="C541" s="146"/>
      <c r="D541" s="146"/>
      <c r="E541" s="146"/>
      <c r="F541" s="146"/>
      <c r="G541" s="146"/>
      <c r="H541" s="146"/>
      <c r="I541" s="146"/>
      <c r="J541" s="146"/>
      <c r="K541" s="146"/>
      <c r="L541" s="146"/>
      <c r="M541" s="146"/>
      <c r="N541" s="146"/>
      <c r="O541" s="146"/>
      <c r="P541" s="146"/>
      <c r="Q541" s="146"/>
      <c r="R541" s="146"/>
      <c r="S541" s="146"/>
      <c r="T541" s="146"/>
      <c r="U541" s="146"/>
      <c r="V541" s="146"/>
      <c r="W541" s="146"/>
      <c r="X541" s="146"/>
      <c r="Y541" s="146"/>
      <c r="Z541" s="146"/>
      <c r="AA541" s="146"/>
    </row>
    <row r="542" spans="1:27" ht="15.75" customHeight="1" x14ac:dyDescent="0.25">
      <c r="A542" s="146"/>
      <c r="B542" s="146"/>
      <c r="C542" s="146"/>
      <c r="D542" s="146"/>
      <c r="E542" s="146"/>
      <c r="F542" s="146"/>
      <c r="G542" s="146"/>
      <c r="H542" s="146"/>
      <c r="I542" s="146"/>
      <c r="J542" s="146"/>
      <c r="K542" s="146"/>
      <c r="L542" s="146"/>
      <c r="M542" s="146"/>
      <c r="N542" s="146"/>
      <c r="O542" s="146"/>
      <c r="P542" s="146"/>
      <c r="Q542" s="146"/>
      <c r="R542" s="146"/>
      <c r="S542" s="146"/>
      <c r="T542" s="146"/>
      <c r="U542" s="146"/>
      <c r="V542" s="146"/>
      <c r="W542" s="146"/>
      <c r="X542" s="146"/>
      <c r="Y542" s="146"/>
      <c r="Z542" s="146"/>
      <c r="AA542" s="146"/>
    </row>
    <row r="543" spans="1:27" ht="15.75" customHeight="1" x14ac:dyDescent="0.25">
      <c r="A543" s="146"/>
      <c r="B543" s="146"/>
      <c r="C543" s="146"/>
      <c r="D543" s="146"/>
      <c r="E543" s="146"/>
      <c r="F543" s="146"/>
      <c r="G543" s="146"/>
      <c r="H543" s="146"/>
      <c r="I543" s="146"/>
      <c r="J543" s="146"/>
      <c r="K543" s="146"/>
      <c r="L543" s="146"/>
      <c r="M543" s="146"/>
      <c r="N543" s="146"/>
      <c r="O543" s="146"/>
      <c r="P543" s="146"/>
      <c r="Q543" s="146"/>
      <c r="R543" s="146"/>
      <c r="S543" s="146"/>
      <c r="T543" s="146"/>
      <c r="U543" s="146"/>
      <c r="V543" s="146"/>
      <c r="W543" s="146"/>
      <c r="X543" s="146"/>
      <c r="Y543" s="146"/>
      <c r="Z543" s="146"/>
      <c r="AA543" s="146"/>
    </row>
    <row r="544" spans="1:27" ht="15.75" customHeight="1" x14ac:dyDescent="0.25">
      <c r="A544" s="146"/>
      <c r="B544" s="146"/>
      <c r="C544" s="146"/>
      <c r="D544" s="146"/>
      <c r="E544" s="146"/>
      <c r="F544" s="146"/>
      <c r="G544" s="146"/>
      <c r="H544" s="146"/>
      <c r="I544" s="146"/>
      <c r="J544" s="146"/>
      <c r="K544" s="146"/>
      <c r="L544" s="146"/>
      <c r="M544" s="146"/>
      <c r="N544" s="146"/>
      <c r="O544" s="146"/>
      <c r="P544" s="146"/>
      <c r="Q544" s="146"/>
      <c r="R544" s="146"/>
      <c r="S544" s="146"/>
      <c r="T544" s="146"/>
      <c r="U544" s="146"/>
      <c r="V544" s="146"/>
      <c r="W544" s="146"/>
      <c r="X544" s="146"/>
      <c r="Y544" s="146"/>
      <c r="Z544" s="146"/>
      <c r="AA544" s="146"/>
    </row>
    <row r="545" spans="1:27" ht="15.75" customHeight="1" x14ac:dyDescent="0.25">
      <c r="A545" s="146"/>
      <c r="B545" s="146"/>
      <c r="C545" s="146"/>
      <c r="D545" s="146"/>
      <c r="E545" s="146"/>
      <c r="F545" s="146"/>
      <c r="G545" s="146"/>
      <c r="H545" s="146"/>
      <c r="I545" s="146"/>
      <c r="J545" s="146"/>
      <c r="K545" s="146"/>
      <c r="L545" s="146"/>
      <c r="M545" s="146"/>
      <c r="N545" s="146"/>
      <c r="O545" s="146"/>
      <c r="P545" s="146"/>
      <c r="Q545" s="146"/>
      <c r="R545" s="146"/>
      <c r="S545" s="146"/>
      <c r="T545" s="146"/>
      <c r="U545" s="146"/>
      <c r="V545" s="146"/>
      <c r="W545" s="146"/>
      <c r="X545" s="146"/>
      <c r="Y545" s="146"/>
      <c r="Z545" s="146"/>
      <c r="AA545" s="146"/>
    </row>
    <row r="546" spans="1:27" ht="15.75" customHeight="1" x14ac:dyDescent="0.25">
      <c r="A546" s="146"/>
      <c r="B546" s="146"/>
      <c r="C546" s="146"/>
      <c r="D546" s="146"/>
      <c r="E546" s="146"/>
      <c r="F546" s="146"/>
      <c r="G546" s="146"/>
      <c r="H546" s="146"/>
      <c r="I546" s="146"/>
      <c r="J546" s="146"/>
      <c r="K546" s="146"/>
      <c r="L546" s="146"/>
      <c r="M546" s="146"/>
      <c r="N546" s="146"/>
      <c r="O546" s="146"/>
      <c r="P546" s="146"/>
      <c r="Q546" s="146"/>
      <c r="R546" s="146"/>
      <c r="S546" s="146"/>
      <c r="T546" s="146"/>
      <c r="U546" s="146"/>
      <c r="V546" s="146"/>
      <c r="W546" s="146"/>
      <c r="X546" s="146"/>
      <c r="Y546" s="146"/>
      <c r="Z546" s="146"/>
      <c r="AA546" s="146"/>
    </row>
    <row r="547" spans="1:27" ht="15.75" customHeight="1" x14ac:dyDescent="0.25">
      <c r="A547" s="146"/>
      <c r="B547" s="146"/>
      <c r="C547" s="146"/>
      <c r="D547" s="146"/>
      <c r="E547" s="146"/>
      <c r="F547" s="146"/>
      <c r="G547" s="146"/>
      <c r="H547" s="146"/>
      <c r="I547" s="146"/>
      <c r="J547" s="146"/>
      <c r="K547" s="146"/>
      <c r="L547" s="146"/>
      <c r="M547" s="146"/>
      <c r="N547" s="146"/>
      <c r="O547" s="146"/>
      <c r="P547" s="146"/>
      <c r="Q547" s="146"/>
      <c r="R547" s="146"/>
      <c r="S547" s="146"/>
      <c r="T547" s="146"/>
      <c r="U547" s="146"/>
      <c r="V547" s="146"/>
      <c r="W547" s="146"/>
      <c r="X547" s="146"/>
      <c r="Y547" s="146"/>
      <c r="Z547" s="146"/>
      <c r="AA547" s="146"/>
    </row>
    <row r="548" spans="1:27" ht="15.75" customHeight="1" x14ac:dyDescent="0.25">
      <c r="A548" s="146"/>
      <c r="B548" s="146"/>
      <c r="C548" s="146"/>
      <c r="D548" s="146"/>
      <c r="E548" s="146"/>
      <c r="F548" s="146"/>
      <c r="G548" s="146"/>
      <c r="H548" s="146"/>
      <c r="I548" s="146"/>
      <c r="J548" s="146"/>
      <c r="K548" s="146"/>
      <c r="L548" s="146"/>
      <c r="M548" s="146"/>
      <c r="N548" s="146"/>
      <c r="O548" s="146"/>
      <c r="P548" s="146"/>
      <c r="Q548" s="146"/>
      <c r="R548" s="146"/>
      <c r="S548" s="146"/>
      <c r="T548" s="146"/>
      <c r="U548" s="146"/>
      <c r="V548" s="146"/>
      <c r="W548" s="146"/>
      <c r="X548" s="146"/>
      <c r="Y548" s="146"/>
      <c r="Z548" s="146"/>
      <c r="AA548" s="146"/>
    </row>
    <row r="549" spans="1:27" ht="15.75" customHeight="1" x14ac:dyDescent="0.25">
      <c r="A549" s="146"/>
      <c r="B549" s="146"/>
      <c r="C549" s="146"/>
      <c r="D549" s="146"/>
      <c r="E549" s="146"/>
      <c r="F549" s="146"/>
      <c r="G549" s="146"/>
      <c r="H549" s="146"/>
      <c r="I549" s="146"/>
      <c r="J549" s="146"/>
      <c r="K549" s="146"/>
      <c r="L549" s="146"/>
      <c r="M549" s="146"/>
      <c r="N549" s="146"/>
      <c r="O549" s="146"/>
      <c r="P549" s="146"/>
      <c r="Q549" s="146"/>
      <c r="R549" s="146"/>
      <c r="S549" s="146"/>
      <c r="T549" s="146"/>
      <c r="U549" s="146"/>
      <c r="V549" s="146"/>
      <c r="W549" s="146"/>
      <c r="X549" s="146"/>
      <c r="Y549" s="146"/>
      <c r="Z549" s="146"/>
      <c r="AA549" s="146"/>
    </row>
    <row r="550" spans="1:27" ht="15.75" customHeight="1" x14ac:dyDescent="0.25">
      <c r="A550" s="146"/>
      <c r="B550" s="146"/>
      <c r="C550" s="146"/>
      <c r="D550" s="146"/>
      <c r="E550" s="146"/>
      <c r="F550" s="146"/>
      <c r="G550" s="146"/>
      <c r="H550" s="146"/>
      <c r="I550" s="146"/>
      <c r="J550" s="146"/>
      <c r="K550" s="146"/>
      <c r="L550" s="146"/>
      <c r="M550" s="146"/>
      <c r="N550" s="146"/>
      <c r="O550" s="146"/>
      <c r="P550" s="146"/>
      <c r="Q550" s="146"/>
      <c r="R550" s="146"/>
      <c r="S550" s="146"/>
      <c r="T550" s="146"/>
      <c r="U550" s="146"/>
      <c r="V550" s="146"/>
      <c r="W550" s="146"/>
      <c r="X550" s="146"/>
      <c r="Y550" s="146"/>
      <c r="Z550" s="146"/>
      <c r="AA550" s="146"/>
    </row>
    <row r="551" spans="1:27" ht="15.75" customHeight="1" x14ac:dyDescent="0.25">
      <c r="A551" s="146"/>
      <c r="B551" s="146"/>
      <c r="C551" s="146"/>
      <c r="D551" s="146"/>
      <c r="E551" s="146"/>
      <c r="F551" s="146"/>
      <c r="G551" s="146"/>
      <c r="H551" s="146"/>
      <c r="I551" s="146"/>
      <c r="J551" s="146"/>
      <c r="K551" s="146"/>
      <c r="L551" s="146"/>
      <c r="M551" s="146"/>
      <c r="N551" s="146"/>
      <c r="O551" s="146"/>
      <c r="P551" s="146"/>
      <c r="Q551" s="146"/>
      <c r="R551" s="146"/>
      <c r="S551" s="146"/>
      <c r="T551" s="146"/>
      <c r="U551" s="146"/>
      <c r="V551" s="146"/>
      <c r="W551" s="146"/>
      <c r="X551" s="146"/>
      <c r="Y551" s="146"/>
      <c r="Z551" s="146"/>
      <c r="AA551" s="146"/>
    </row>
    <row r="552" spans="1:27" ht="15.75" customHeight="1" x14ac:dyDescent="0.25">
      <c r="A552" s="146"/>
      <c r="B552" s="146"/>
      <c r="C552" s="146"/>
      <c r="D552" s="146"/>
      <c r="E552" s="146"/>
      <c r="F552" s="146"/>
      <c r="G552" s="146"/>
      <c r="H552" s="146"/>
      <c r="I552" s="146"/>
      <c r="J552" s="146"/>
      <c r="K552" s="146"/>
      <c r="L552" s="146"/>
      <c r="M552" s="146"/>
      <c r="N552" s="146"/>
      <c r="O552" s="146"/>
      <c r="P552" s="146"/>
      <c r="Q552" s="146"/>
      <c r="R552" s="146"/>
      <c r="S552" s="146"/>
      <c r="T552" s="146"/>
      <c r="U552" s="146"/>
      <c r="V552" s="146"/>
      <c r="W552" s="146"/>
      <c r="X552" s="146"/>
      <c r="Y552" s="146"/>
      <c r="Z552" s="146"/>
      <c r="AA552" s="146"/>
    </row>
    <row r="553" spans="1:27" ht="15.75" customHeight="1" x14ac:dyDescent="0.25">
      <c r="A553" s="146"/>
      <c r="B553" s="146"/>
      <c r="C553" s="146"/>
      <c r="D553" s="146"/>
      <c r="E553" s="146"/>
      <c r="F553" s="146"/>
      <c r="G553" s="146"/>
      <c r="H553" s="146"/>
      <c r="I553" s="146"/>
      <c r="J553" s="146"/>
      <c r="K553" s="146"/>
      <c r="L553" s="146"/>
      <c r="M553" s="146"/>
      <c r="N553" s="146"/>
      <c r="O553" s="146"/>
      <c r="P553" s="146"/>
      <c r="Q553" s="146"/>
      <c r="R553" s="146"/>
      <c r="S553" s="146"/>
      <c r="T553" s="146"/>
      <c r="U553" s="146"/>
      <c r="V553" s="146"/>
      <c r="W553" s="146"/>
      <c r="X553" s="146"/>
      <c r="Y553" s="146"/>
      <c r="Z553" s="146"/>
      <c r="AA553" s="146"/>
    </row>
    <row r="554" spans="1:27" ht="15.75" customHeight="1" x14ac:dyDescent="0.25">
      <c r="A554" s="146"/>
      <c r="B554" s="146"/>
      <c r="C554" s="146"/>
      <c r="D554" s="146"/>
      <c r="E554" s="146"/>
      <c r="F554" s="146"/>
      <c r="G554" s="146"/>
      <c r="H554" s="146"/>
      <c r="I554" s="146"/>
      <c r="J554" s="146"/>
      <c r="K554" s="146"/>
      <c r="L554" s="146"/>
      <c r="M554" s="146"/>
      <c r="N554" s="146"/>
      <c r="O554" s="146"/>
      <c r="P554" s="146"/>
      <c r="Q554" s="146"/>
      <c r="R554" s="146"/>
      <c r="S554" s="146"/>
      <c r="T554" s="146"/>
      <c r="U554" s="146"/>
      <c r="V554" s="146"/>
      <c r="W554" s="146"/>
      <c r="X554" s="146"/>
      <c r="Y554" s="146"/>
      <c r="Z554" s="146"/>
      <c r="AA554" s="146"/>
    </row>
    <row r="555" spans="1:27" ht="15.75" customHeight="1" x14ac:dyDescent="0.25">
      <c r="A555" s="146"/>
      <c r="B555" s="146"/>
      <c r="C555" s="146"/>
      <c r="D555" s="146"/>
      <c r="E555" s="146"/>
      <c r="F555" s="146"/>
      <c r="G555" s="146"/>
      <c r="H555" s="146"/>
      <c r="I555" s="146"/>
      <c r="J555" s="146"/>
      <c r="K555" s="146"/>
      <c r="L555" s="146"/>
      <c r="M555" s="146"/>
      <c r="N555" s="146"/>
      <c r="O555" s="146"/>
      <c r="P555" s="146"/>
      <c r="Q555" s="146"/>
      <c r="R555" s="146"/>
      <c r="S555" s="146"/>
      <c r="T555" s="146"/>
      <c r="U555" s="146"/>
      <c r="V555" s="146"/>
      <c r="W555" s="146"/>
      <c r="X555" s="146"/>
      <c r="Y555" s="146"/>
      <c r="Z555" s="146"/>
      <c r="AA555" s="146"/>
    </row>
    <row r="556" spans="1:27" ht="15.75" customHeight="1" x14ac:dyDescent="0.25">
      <c r="A556" s="146"/>
      <c r="B556" s="146"/>
      <c r="C556" s="146"/>
      <c r="D556" s="146"/>
      <c r="E556" s="146"/>
      <c r="F556" s="146"/>
      <c r="G556" s="146"/>
      <c r="H556" s="146"/>
      <c r="I556" s="146"/>
      <c r="J556" s="146"/>
      <c r="K556" s="146"/>
      <c r="L556" s="146"/>
      <c r="M556" s="146"/>
      <c r="N556" s="146"/>
      <c r="O556" s="146"/>
      <c r="P556" s="146"/>
      <c r="Q556" s="146"/>
      <c r="R556" s="146"/>
      <c r="S556" s="146"/>
      <c r="T556" s="146"/>
      <c r="U556" s="146"/>
      <c r="V556" s="146"/>
      <c r="W556" s="146"/>
      <c r="X556" s="146"/>
      <c r="Y556" s="146"/>
      <c r="Z556" s="146"/>
      <c r="AA556" s="146"/>
    </row>
    <row r="557" spans="1:27" ht="15.75" customHeight="1" x14ac:dyDescent="0.25">
      <c r="A557" s="146"/>
      <c r="B557" s="146"/>
      <c r="C557" s="146"/>
      <c r="D557" s="146"/>
      <c r="E557" s="146"/>
      <c r="F557" s="146"/>
      <c r="G557" s="146"/>
      <c r="H557" s="146"/>
      <c r="I557" s="146"/>
      <c r="J557" s="146"/>
      <c r="K557" s="146"/>
      <c r="L557" s="146"/>
      <c r="M557" s="146"/>
      <c r="N557" s="146"/>
      <c r="O557" s="146"/>
      <c r="P557" s="146"/>
      <c r="Q557" s="146"/>
      <c r="R557" s="146"/>
      <c r="S557" s="146"/>
      <c r="T557" s="146"/>
      <c r="U557" s="146"/>
      <c r="V557" s="146"/>
      <c r="W557" s="146"/>
      <c r="X557" s="146"/>
      <c r="Y557" s="146"/>
      <c r="Z557" s="146"/>
      <c r="AA557" s="146"/>
    </row>
    <row r="558" spans="1:27" ht="15.75" customHeight="1" x14ac:dyDescent="0.25">
      <c r="A558" s="146"/>
      <c r="B558" s="146"/>
      <c r="C558" s="146"/>
      <c r="D558" s="146"/>
      <c r="E558" s="146"/>
      <c r="F558" s="146"/>
      <c r="G558" s="146"/>
      <c r="H558" s="146"/>
      <c r="I558" s="146"/>
      <c r="J558" s="146"/>
      <c r="K558" s="146"/>
      <c r="L558" s="146"/>
      <c r="M558" s="146"/>
      <c r="N558" s="146"/>
      <c r="O558" s="146"/>
      <c r="P558" s="146"/>
      <c r="Q558" s="146"/>
      <c r="R558" s="146"/>
      <c r="S558" s="146"/>
      <c r="T558" s="146"/>
      <c r="U558" s="146"/>
      <c r="V558" s="146"/>
      <c r="W558" s="146"/>
      <c r="X558" s="146"/>
      <c r="Y558" s="146"/>
      <c r="Z558" s="146"/>
      <c r="AA558" s="146"/>
    </row>
    <row r="559" spans="1:27" ht="15.75" customHeight="1" x14ac:dyDescent="0.25">
      <c r="A559" s="146"/>
      <c r="B559" s="146"/>
      <c r="C559" s="146"/>
      <c r="D559" s="146"/>
      <c r="E559" s="146"/>
      <c r="F559" s="146"/>
      <c r="G559" s="146"/>
      <c r="H559" s="146"/>
      <c r="I559" s="146"/>
      <c r="J559" s="146"/>
      <c r="K559" s="146"/>
      <c r="L559" s="146"/>
      <c r="M559" s="146"/>
      <c r="N559" s="146"/>
      <c r="O559" s="146"/>
      <c r="P559" s="146"/>
      <c r="Q559" s="146"/>
      <c r="R559" s="146"/>
      <c r="S559" s="146"/>
      <c r="T559" s="146"/>
      <c r="U559" s="146"/>
      <c r="V559" s="146"/>
      <c r="W559" s="146"/>
      <c r="X559" s="146"/>
      <c r="Y559" s="146"/>
      <c r="Z559" s="146"/>
      <c r="AA559" s="146"/>
    </row>
    <row r="560" spans="1:27" ht="15.75" customHeight="1" x14ac:dyDescent="0.25">
      <c r="A560" s="146"/>
      <c r="B560" s="146"/>
      <c r="C560" s="146"/>
      <c r="D560" s="146"/>
      <c r="E560" s="146"/>
      <c r="F560" s="146"/>
      <c r="G560" s="146"/>
      <c r="H560" s="146"/>
      <c r="I560" s="146"/>
      <c r="J560" s="146"/>
      <c r="K560" s="146"/>
      <c r="L560" s="146"/>
      <c r="M560" s="146"/>
      <c r="N560" s="146"/>
      <c r="O560" s="146"/>
      <c r="P560" s="146"/>
      <c r="Q560" s="146"/>
      <c r="R560" s="146"/>
      <c r="S560" s="146"/>
      <c r="T560" s="146"/>
      <c r="U560" s="146"/>
      <c r="V560" s="146"/>
      <c r="W560" s="146"/>
      <c r="X560" s="146"/>
      <c r="Y560" s="146"/>
      <c r="Z560" s="146"/>
      <c r="AA560" s="146"/>
    </row>
    <row r="561" spans="1:27" ht="15.75" customHeight="1" x14ac:dyDescent="0.25">
      <c r="A561" s="146"/>
      <c r="B561" s="146"/>
      <c r="C561" s="146"/>
      <c r="D561" s="146"/>
      <c r="E561" s="146"/>
      <c r="F561" s="146"/>
      <c r="G561" s="146"/>
      <c r="H561" s="146"/>
      <c r="I561" s="146"/>
      <c r="J561" s="146"/>
      <c r="K561" s="146"/>
      <c r="L561" s="146"/>
      <c r="M561" s="146"/>
      <c r="N561" s="146"/>
      <c r="O561" s="146"/>
      <c r="P561" s="146"/>
      <c r="Q561" s="146"/>
      <c r="R561" s="146"/>
      <c r="S561" s="146"/>
      <c r="T561" s="146"/>
      <c r="U561" s="146"/>
      <c r="V561" s="146"/>
      <c r="W561" s="146"/>
      <c r="X561" s="146"/>
      <c r="Y561" s="146"/>
      <c r="Z561" s="146"/>
      <c r="AA561" s="146"/>
    </row>
    <row r="562" spans="1:27" ht="15.75" customHeight="1" x14ac:dyDescent="0.25">
      <c r="A562" s="146"/>
      <c r="B562" s="146"/>
      <c r="C562" s="146"/>
      <c r="D562" s="146"/>
      <c r="E562" s="146"/>
      <c r="F562" s="146"/>
      <c r="G562" s="146"/>
      <c r="H562" s="146"/>
      <c r="I562" s="146"/>
      <c r="J562" s="146"/>
      <c r="K562" s="146"/>
      <c r="L562" s="146"/>
      <c r="M562" s="146"/>
      <c r="N562" s="146"/>
      <c r="O562" s="146"/>
      <c r="P562" s="146"/>
      <c r="Q562" s="146"/>
      <c r="R562" s="146"/>
      <c r="S562" s="146"/>
      <c r="T562" s="146"/>
      <c r="U562" s="146"/>
      <c r="V562" s="146"/>
      <c r="W562" s="146"/>
      <c r="X562" s="146"/>
      <c r="Y562" s="146"/>
      <c r="Z562" s="146"/>
      <c r="AA562" s="146"/>
    </row>
    <row r="563" spans="1:27" ht="15.75" customHeight="1" x14ac:dyDescent="0.25">
      <c r="A563" s="146"/>
      <c r="B563" s="146"/>
      <c r="C563" s="146"/>
      <c r="D563" s="146"/>
      <c r="E563" s="146"/>
      <c r="F563" s="146"/>
      <c r="G563" s="146"/>
      <c r="H563" s="146"/>
      <c r="I563" s="146"/>
      <c r="J563" s="146"/>
      <c r="K563" s="146"/>
      <c r="L563" s="146"/>
      <c r="M563" s="146"/>
      <c r="N563" s="146"/>
      <c r="O563" s="146"/>
      <c r="P563" s="146"/>
      <c r="Q563" s="146"/>
      <c r="R563" s="146"/>
      <c r="S563" s="146"/>
      <c r="T563" s="146"/>
      <c r="U563" s="146"/>
      <c r="V563" s="146"/>
      <c r="W563" s="146"/>
      <c r="X563" s="146"/>
      <c r="Y563" s="146"/>
      <c r="Z563" s="146"/>
      <c r="AA563" s="146"/>
    </row>
    <row r="564" spans="1:27" ht="15.75" customHeight="1" x14ac:dyDescent="0.25">
      <c r="A564" s="146"/>
      <c r="B564" s="146"/>
      <c r="C564" s="146"/>
      <c r="D564" s="146"/>
      <c r="E564" s="146"/>
      <c r="F564" s="146"/>
      <c r="G564" s="146"/>
      <c r="H564" s="146"/>
      <c r="I564" s="146"/>
      <c r="J564" s="146"/>
      <c r="K564" s="146"/>
      <c r="L564" s="146"/>
      <c r="M564" s="146"/>
      <c r="N564" s="146"/>
      <c r="O564" s="146"/>
      <c r="P564" s="146"/>
      <c r="Q564" s="146"/>
      <c r="R564" s="146"/>
      <c r="S564" s="146"/>
      <c r="T564" s="146"/>
      <c r="U564" s="146"/>
      <c r="V564" s="146"/>
      <c r="W564" s="146"/>
      <c r="X564" s="146"/>
      <c r="Y564" s="146"/>
      <c r="Z564" s="146"/>
      <c r="AA564" s="146"/>
    </row>
    <row r="565" spans="1:27" ht="15.75" customHeight="1" x14ac:dyDescent="0.25">
      <c r="A565" s="146"/>
      <c r="B565" s="146"/>
      <c r="C565" s="146"/>
      <c r="D565" s="146"/>
      <c r="E565" s="146"/>
      <c r="F565" s="146"/>
      <c r="G565" s="146"/>
      <c r="H565" s="146"/>
      <c r="I565" s="146"/>
      <c r="J565" s="146"/>
      <c r="K565" s="146"/>
      <c r="L565" s="146"/>
      <c r="M565" s="146"/>
      <c r="N565" s="146"/>
      <c r="O565" s="146"/>
      <c r="P565" s="146"/>
      <c r="Q565" s="146"/>
      <c r="R565" s="146"/>
      <c r="S565" s="146"/>
      <c r="T565" s="146"/>
      <c r="U565" s="146"/>
      <c r="V565" s="146"/>
      <c r="W565" s="146"/>
      <c r="X565" s="146"/>
      <c r="Y565" s="146"/>
      <c r="Z565" s="146"/>
      <c r="AA565" s="146"/>
    </row>
    <row r="566" spans="1:27" ht="15.75" customHeight="1" x14ac:dyDescent="0.25">
      <c r="A566" s="146"/>
      <c r="B566" s="146"/>
      <c r="C566" s="146"/>
      <c r="D566" s="146"/>
      <c r="E566" s="146"/>
      <c r="F566" s="146"/>
      <c r="G566" s="146"/>
      <c r="H566" s="146"/>
      <c r="I566" s="146"/>
      <c r="J566" s="146"/>
      <c r="K566" s="146"/>
      <c r="L566" s="146"/>
      <c r="M566" s="146"/>
      <c r="N566" s="146"/>
      <c r="O566" s="146"/>
      <c r="P566" s="146"/>
      <c r="Q566" s="146"/>
      <c r="R566" s="146"/>
      <c r="S566" s="146"/>
      <c r="T566" s="146"/>
      <c r="U566" s="146"/>
      <c r="V566" s="146"/>
      <c r="W566" s="146"/>
      <c r="X566" s="146"/>
      <c r="Y566" s="146"/>
      <c r="Z566" s="146"/>
      <c r="AA566" s="146"/>
    </row>
    <row r="567" spans="1:27" ht="15.75" customHeight="1" x14ac:dyDescent="0.25">
      <c r="A567" s="146"/>
      <c r="B567" s="146"/>
      <c r="C567" s="146"/>
      <c r="D567" s="146"/>
      <c r="E567" s="146"/>
      <c r="F567" s="146"/>
      <c r="G567" s="146"/>
      <c r="H567" s="146"/>
      <c r="I567" s="146"/>
      <c r="J567" s="146"/>
      <c r="K567" s="146"/>
      <c r="L567" s="146"/>
      <c r="M567" s="146"/>
      <c r="N567" s="146"/>
      <c r="O567" s="146"/>
      <c r="P567" s="146"/>
      <c r="Q567" s="146"/>
      <c r="R567" s="146"/>
      <c r="S567" s="146"/>
      <c r="T567" s="146"/>
      <c r="U567" s="146"/>
      <c r="V567" s="146"/>
      <c r="W567" s="146"/>
      <c r="X567" s="146"/>
      <c r="Y567" s="146"/>
      <c r="Z567" s="146"/>
      <c r="AA567" s="146"/>
    </row>
    <row r="568" spans="1:27" ht="15.75" customHeight="1" x14ac:dyDescent="0.25">
      <c r="A568" s="146"/>
      <c r="B568" s="146"/>
      <c r="C568" s="146"/>
      <c r="D568" s="146"/>
      <c r="E568" s="146"/>
      <c r="F568" s="146"/>
      <c r="G568" s="146"/>
      <c r="H568" s="146"/>
      <c r="I568" s="146"/>
      <c r="J568" s="146"/>
      <c r="K568" s="146"/>
      <c r="L568" s="146"/>
      <c r="M568" s="146"/>
      <c r="N568" s="146"/>
      <c r="O568" s="146"/>
      <c r="P568" s="146"/>
      <c r="Q568" s="146"/>
      <c r="R568" s="146"/>
      <c r="S568" s="146"/>
      <c r="T568" s="146"/>
      <c r="U568" s="146"/>
      <c r="V568" s="146"/>
      <c r="W568" s="146"/>
      <c r="X568" s="146"/>
      <c r="Y568" s="146"/>
      <c r="Z568" s="146"/>
      <c r="AA568" s="146"/>
    </row>
    <row r="569" spans="1:27" ht="15.75" customHeight="1" x14ac:dyDescent="0.25">
      <c r="A569" s="146"/>
      <c r="B569" s="146"/>
      <c r="C569" s="146"/>
      <c r="D569" s="146"/>
      <c r="E569" s="146"/>
      <c r="F569" s="146"/>
      <c r="G569" s="146"/>
      <c r="H569" s="146"/>
      <c r="I569" s="146"/>
      <c r="J569" s="146"/>
      <c r="K569" s="146"/>
      <c r="L569" s="146"/>
      <c r="M569" s="146"/>
      <c r="N569" s="146"/>
      <c r="O569" s="146"/>
      <c r="P569" s="146"/>
      <c r="Q569" s="146"/>
      <c r="R569" s="146"/>
      <c r="S569" s="146"/>
      <c r="T569" s="146"/>
      <c r="U569" s="146"/>
      <c r="V569" s="146"/>
      <c r="W569" s="146"/>
      <c r="X569" s="146"/>
      <c r="Y569" s="146"/>
      <c r="Z569" s="146"/>
      <c r="AA569" s="146"/>
    </row>
    <row r="570" spans="1:27" ht="15.75" customHeight="1" x14ac:dyDescent="0.25">
      <c r="A570" s="146"/>
      <c r="B570" s="146"/>
      <c r="C570" s="146"/>
      <c r="D570" s="146"/>
      <c r="E570" s="146"/>
      <c r="F570" s="146"/>
      <c r="G570" s="146"/>
      <c r="H570" s="146"/>
      <c r="I570" s="146"/>
      <c r="J570" s="146"/>
      <c r="K570" s="146"/>
      <c r="L570" s="146"/>
      <c r="M570" s="146"/>
      <c r="N570" s="146"/>
      <c r="O570" s="146"/>
      <c r="P570" s="146"/>
      <c r="Q570" s="146"/>
      <c r="R570" s="146"/>
      <c r="S570" s="146"/>
      <c r="T570" s="146"/>
      <c r="U570" s="146"/>
      <c r="V570" s="146"/>
      <c r="W570" s="146"/>
      <c r="X570" s="146"/>
      <c r="Y570" s="146"/>
      <c r="Z570" s="146"/>
      <c r="AA570" s="146"/>
    </row>
    <row r="571" spans="1:27" ht="15.75" customHeight="1" x14ac:dyDescent="0.25">
      <c r="A571" s="146"/>
      <c r="B571" s="146"/>
      <c r="C571" s="146"/>
      <c r="D571" s="146"/>
      <c r="E571" s="146"/>
      <c r="F571" s="146"/>
      <c r="G571" s="146"/>
      <c r="H571" s="146"/>
      <c r="I571" s="146"/>
      <c r="J571" s="146"/>
      <c r="K571" s="146"/>
      <c r="L571" s="146"/>
      <c r="M571" s="146"/>
      <c r="N571" s="146"/>
      <c r="O571" s="146"/>
      <c r="P571" s="146"/>
      <c r="Q571" s="146"/>
      <c r="R571" s="146"/>
      <c r="S571" s="146"/>
      <c r="T571" s="146"/>
      <c r="U571" s="146"/>
      <c r="V571" s="146"/>
      <c r="W571" s="146"/>
      <c r="X571" s="146"/>
      <c r="Y571" s="146"/>
      <c r="Z571" s="146"/>
      <c r="AA571" s="146"/>
    </row>
    <row r="572" spans="1:27" ht="15.75" customHeight="1" x14ac:dyDescent="0.25">
      <c r="A572" s="146"/>
      <c r="B572" s="146"/>
      <c r="C572" s="146"/>
      <c r="D572" s="146"/>
      <c r="E572" s="146"/>
      <c r="F572" s="146"/>
      <c r="G572" s="146"/>
      <c r="H572" s="146"/>
      <c r="I572" s="146"/>
      <c r="J572" s="146"/>
      <c r="K572" s="146"/>
      <c r="L572" s="146"/>
      <c r="M572" s="146"/>
      <c r="N572" s="146"/>
      <c r="O572" s="146"/>
      <c r="P572" s="146"/>
      <c r="Q572" s="146"/>
      <c r="R572" s="146"/>
      <c r="S572" s="146"/>
      <c r="T572" s="146"/>
      <c r="U572" s="146"/>
      <c r="V572" s="146"/>
      <c r="W572" s="146"/>
      <c r="X572" s="146"/>
      <c r="Y572" s="146"/>
      <c r="Z572" s="146"/>
      <c r="AA572" s="146"/>
    </row>
    <row r="573" spans="1:27" ht="15.75" customHeight="1" x14ac:dyDescent="0.25">
      <c r="A573" s="146"/>
      <c r="B573" s="146"/>
      <c r="C573" s="146"/>
      <c r="D573" s="146"/>
      <c r="E573" s="146"/>
      <c r="F573" s="146"/>
      <c r="G573" s="146"/>
      <c r="H573" s="146"/>
      <c r="I573" s="146"/>
      <c r="J573" s="146"/>
      <c r="K573" s="146"/>
      <c r="L573" s="146"/>
      <c r="M573" s="146"/>
      <c r="N573" s="146"/>
      <c r="O573" s="146"/>
      <c r="P573" s="146"/>
      <c r="Q573" s="146"/>
      <c r="R573" s="146"/>
      <c r="S573" s="146"/>
      <c r="T573" s="146"/>
      <c r="U573" s="146"/>
      <c r="V573" s="146"/>
      <c r="W573" s="146"/>
      <c r="X573" s="146"/>
      <c r="Y573" s="146"/>
      <c r="Z573" s="146"/>
      <c r="AA573" s="146"/>
    </row>
    <row r="574" spans="1:27" ht="15.75" customHeight="1" x14ac:dyDescent="0.25">
      <c r="A574" s="146"/>
      <c r="B574" s="146"/>
      <c r="C574" s="146"/>
      <c r="D574" s="146"/>
      <c r="E574" s="146"/>
      <c r="F574" s="146"/>
      <c r="G574" s="146"/>
      <c r="H574" s="146"/>
      <c r="I574" s="146"/>
      <c r="J574" s="146"/>
      <c r="K574" s="146"/>
      <c r="L574" s="146"/>
      <c r="M574" s="146"/>
      <c r="N574" s="146"/>
      <c r="O574" s="146"/>
      <c r="P574" s="146"/>
      <c r="Q574" s="146"/>
      <c r="R574" s="146"/>
      <c r="S574" s="146"/>
      <c r="T574" s="146"/>
      <c r="U574" s="146"/>
      <c r="V574" s="146"/>
      <c r="W574" s="146"/>
      <c r="X574" s="146"/>
      <c r="Y574" s="146"/>
      <c r="Z574" s="146"/>
      <c r="AA574" s="146"/>
    </row>
    <row r="575" spans="1:27" ht="15.75" customHeight="1" x14ac:dyDescent="0.25">
      <c r="A575" s="146"/>
      <c r="B575" s="146"/>
      <c r="C575" s="146"/>
      <c r="D575" s="146"/>
      <c r="E575" s="146"/>
      <c r="F575" s="146"/>
      <c r="G575" s="146"/>
      <c r="H575" s="146"/>
      <c r="I575" s="146"/>
      <c r="J575" s="146"/>
      <c r="K575" s="146"/>
      <c r="L575" s="146"/>
      <c r="M575" s="146"/>
      <c r="N575" s="146"/>
      <c r="O575" s="146"/>
      <c r="P575" s="146"/>
      <c r="Q575" s="146"/>
      <c r="R575" s="146"/>
      <c r="S575" s="146"/>
      <c r="T575" s="146"/>
      <c r="U575" s="146"/>
      <c r="V575" s="146"/>
      <c r="W575" s="146"/>
      <c r="X575" s="146"/>
      <c r="Y575" s="146"/>
      <c r="Z575" s="146"/>
      <c r="AA575" s="146"/>
    </row>
    <row r="576" spans="1:27" ht="15.75" customHeight="1" x14ac:dyDescent="0.25">
      <c r="A576" s="146"/>
      <c r="B576" s="146"/>
      <c r="C576" s="146"/>
      <c r="D576" s="146"/>
      <c r="E576" s="146"/>
      <c r="F576" s="146"/>
      <c r="G576" s="146"/>
      <c r="H576" s="146"/>
      <c r="I576" s="146"/>
      <c r="J576" s="146"/>
      <c r="K576" s="146"/>
      <c r="L576" s="146"/>
      <c r="M576" s="146"/>
      <c r="N576" s="146"/>
      <c r="O576" s="146"/>
      <c r="P576" s="146"/>
      <c r="Q576" s="146"/>
      <c r="R576" s="146"/>
      <c r="S576" s="146"/>
      <c r="T576" s="146"/>
      <c r="U576" s="146"/>
      <c r="V576" s="146"/>
      <c r="W576" s="146"/>
      <c r="X576" s="146"/>
      <c r="Y576" s="146"/>
      <c r="Z576" s="146"/>
      <c r="AA576" s="146"/>
    </row>
    <row r="577" spans="1:27" ht="15.75" customHeight="1" x14ac:dyDescent="0.25">
      <c r="A577" s="146"/>
      <c r="B577" s="146"/>
      <c r="C577" s="146"/>
      <c r="D577" s="146"/>
      <c r="E577" s="146"/>
      <c r="F577" s="146"/>
      <c r="G577" s="146"/>
      <c r="H577" s="146"/>
      <c r="I577" s="146"/>
      <c r="J577" s="146"/>
      <c r="K577" s="146"/>
      <c r="L577" s="146"/>
      <c r="M577" s="146"/>
      <c r="N577" s="146"/>
      <c r="O577" s="146"/>
      <c r="P577" s="146"/>
      <c r="Q577" s="146"/>
      <c r="R577" s="146"/>
      <c r="S577" s="146"/>
      <c r="T577" s="146"/>
      <c r="U577" s="146"/>
      <c r="V577" s="146"/>
      <c r="W577" s="146"/>
      <c r="X577" s="146"/>
      <c r="Y577" s="146"/>
      <c r="Z577" s="146"/>
      <c r="AA577" s="146"/>
    </row>
    <row r="578" spans="1:27" ht="15.75" customHeight="1" x14ac:dyDescent="0.25">
      <c r="A578" s="146"/>
      <c r="B578" s="146"/>
      <c r="C578" s="146"/>
      <c r="D578" s="146"/>
      <c r="E578" s="146"/>
      <c r="F578" s="146"/>
      <c r="G578" s="146"/>
      <c r="H578" s="146"/>
      <c r="I578" s="146"/>
      <c r="J578" s="146"/>
      <c r="K578" s="146"/>
      <c r="L578" s="146"/>
      <c r="M578" s="146"/>
      <c r="N578" s="146"/>
      <c r="O578" s="146"/>
      <c r="P578" s="146"/>
      <c r="Q578" s="146"/>
      <c r="R578" s="146"/>
      <c r="S578" s="146"/>
      <c r="T578" s="146"/>
      <c r="U578" s="146"/>
      <c r="V578" s="146"/>
      <c r="W578" s="146"/>
      <c r="X578" s="146"/>
      <c r="Y578" s="146"/>
      <c r="Z578" s="146"/>
      <c r="AA578" s="146"/>
    </row>
    <row r="579" spans="1:27" ht="15.75" customHeight="1" x14ac:dyDescent="0.25">
      <c r="A579" s="146"/>
      <c r="B579" s="146"/>
      <c r="C579" s="146"/>
      <c r="D579" s="146"/>
      <c r="E579" s="146"/>
      <c r="F579" s="146"/>
      <c r="G579" s="146"/>
      <c r="H579" s="146"/>
      <c r="I579" s="146"/>
      <c r="J579" s="146"/>
      <c r="K579" s="146"/>
      <c r="L579" s="146"/>
      <c r="M579" s="146"/>
      <c r="N579" s="146"/>
      <c r="O579" s="146"/>
      <c r="P579" s="146"/>
      <c r="Q579" s="146"/>
      <c r="R579" s="146"/>
      <c r="S579" s="146"/>
      <c r="T579" s="146"/>
      <c r="U579" s="146"/>
      <c r="V579" s="146"/>
      <c r="W579" s="146"/>
      <c r="X579" s="146"/>
      <c r="Y579" s="146"/>
      <c r="Z579" s="146"/>
      <c r="AA579" s="146"/>
    </row>
    <row r="580" spans="1:27" ht="15.75" customHeight="1" x14ac:dyDescent="0.25">
      <c r="A580" s="146"/>
      <c r="B580" s="146"/>
      <c r="C580" s="146"/>
      <c r="D580" s="146"/>
      <c r="E580" s="146"/>
      <c r="F580" s="146"/>
      <c r="G580" s="146"/>
      <c r="H580" s="146"/>
      <c r="I580" s="146"/>
      <c r="J580" s="146"/>
      <c r="K580" s="146"/>
      <c r="L580" s="146"/>
      <c r="M580" s="146"/>
      <c r="N580" s="146"/>
      <c r="O580" s="146"/>
      <c r="P580" s="146"/>
      <c r="Q580" s="146"/>
      <c r="R580" s="146"/>
      <c r="S580" s="146"/>
      <c r="T580" s="146"/>
      <c r="U580" s="146"/>
      <c r="V580" s="146"/>
      <c r="W580" s="146"/>
      <c r="X580" s="146"/>
      <c r="Y580" s="146"/>
      <c r="Z580" s="146"/>
      <c r="AA580" s="146"/>
    </row>
    <row r="581" spans="1:27" ht="15.75" customHeight="1" x14ac:dyDescent="0.25">
      <c r="A581" s="146"/>
      <c r="B581" s="146"/>
      <c r="C581" s="146"/>
      <c r="D581" s="146"/>
      <c r="E581" s="146"/>
      <c r="F581" s="146"/>
      <c r="G581" s="146"/>
      <c r="H581" s="146"/>
      <c r="I581" s="146"/>
      <c r="J581" s="146"/>
      <c r="K581" s="146"/>
      <c r="L581" s="146"/>
      <c r="M581" s="146"/>
      <c r="N581" s="146"/>
      <c r="O581" s="146"/>
      <c r="P581" s="146"/>
      <c r="Q581" s="146"/>
      <c r="R581" s="146"/>
      <c r="S581" s="146"/>
      <c r="T581" s="146"/>
      <c r="U581" s="146"/>
      <c r="V581" s="146"/>
      <c r="W581" s="146"/>
      <c r="X581" s="146"/>
      <c r="Y581" s="146"/>
      <c r="Z581" s="146"/>
      <c r="AA581" s="146"/>
    </row>
    <row r="582" spans="1:27" ht="15.75" customHeight="1" x14ac:dyDescent="0.25">
      <c r="A582" s="146"/>
      <c r="B582" s="146"/>
      <c r="C582" s="146"/>
      <c r="D582" s="146"/>
      <c r="E582" s="146"/>
      <c r="F582" s="146"/>
      <c r="G582" s="146"/>
      <c r="H582" s="146"/>
      <c r="I582" s="146"/>
      <c r="J582" s="146"/>
      <c r="K582" s="146"/>
      <c r="L582" s="146"/>
      <c r="M582" s="146"/>
      <c r="N582" s="146"/>
      <c r="O582" s="146"/>
      <c r="P582" s="146"/>
      <c r="Q582" s="146"/>
      <c r="R582" s="146"/>
      <c r="S582" s="146"/>
      <c r="T582" s="146"/>
      <c r="U582" s="146"/>
      <c r="V582" s="146"/>
      <c r="W582" s="146"/>
      <c r="X582" s="146"/>
      <c r="Y582" s="146"/>
      <c r="Z582" s="146"/>
      <c r="AA582" s="146"/>
    </row>
    <row r="583" spans="1:27" ht="15.75" customHeight="1" x14ac:dyDescent="0.25">
      <c r="A583" s="146"/>
      <c r="B583" s="146"/>
      <c r="C583" s="146"/>
      <c r="D583" s="146"/>
      <c r="E583" s="146"/>
      <c r="F583" s="146"/>
      <c r="G583" s="146"/>
      <c r="H583" s="146"/>
      <c r="I583" s="146"/>
      <c r="J583" s="146"/>
      <c r="K583" s="146"/>
      <c r="L583" s="146"/>
      <c r="M583" s="146"/>
      <c r="N583" s="146"/>
      <c r="O583" s="146"/>
      <c r="P583" s="146"/>
      <c r="Q583" s="146"/>
      <c r="R583" s="146"/>
      <c r="S583" s="146"/>
      <c r="T583" s="146"/>
      <c r="U583" s="146"/>
      <c r="V583" s="146"/>
      <c r="W583" s="146"/>
      <c r="X583" s="146"/>
      <c r="Y583" s="146"/>
      <c r="Z583" s="146"/>
      <c r="AA583" s="146"/>
    </row>
    <row r="584" spans="1:27" ht="15.75" customHeight="1" x14ac:dyDescent="0.25">
      <c r="A584" s="146"/>
      <c r="B584" s="146"/>
      <c r="C584" s="146"/>
      <c r="D584" s="146"/>
      <c r="E584" s="146"/>
      <c r="F584" s="146"/>
      <c r="G584" s="146"/>
      <c r="H584" s="146"/>
      <c r="I584" s="146"/>
      <c r="J584" s="146"/>
      <c r="K584" s="146"/>
      <c r="L584" s="146"/>
      <c r="M584" s="146"/>
      <c r="N584" s="146"/>
      <c r="O584" s="146"/>
      <c r="P584" s="146"/>
      <c r="Q584" s="146"/>
      <c r="R584" s="146"/>
      <c r="S584" s="146"/>
      <c r="T584" s="146"/>
      <c r="U584" s="146"/>
      <c r="V584" s="146"/>
      <c r="W584" s="146"/>
      <c r="X584" s="146"/>
      <c r="Y584" s="146"/>
      <c r="Z584" s="146"/>
      <c r="AA584" s="146"/>
    </row>
    <row r="585" spans="1:27" ht="15.75" customHeight="1" x14ac:dyDescent="0.25">
      <c r="A585" s="146"/>
      <c r="B585" s="146"/>
      <c r="C585" s="146"/>
      <c r="D585" s="146"/>
      <c r="E585" s="146"/>
      <c r="F585" s="146"/>
      <c r="G585" s="146"/>
      <c r="H585" s="146"/>
      <c r="I585" s="146"/>
      <c r="J585" s="146"/>
      <c r="K585" s="146"/>
      <c r="L585" s="146"/>
      <c r="M585" s="146"/>
      <c r="N585" s="146"/>
      <c r="O585" s="146"/>
      <c r="P585" s="146"/>
      <c r="Q585" s="146"/>
      <c r="R585" s="146"/>
      <c r="S585" s="146"/>
      <c r="T585" s="146"/>
      <c r="U585" s="146"/>
      <c r="V585" s="146"/>
      <c r="W585" s="146"/>
      <c r="X585" s="146"/>
      <c r="Y585" s="146"/>
      <c r="Z585" s="146"/>
      <c r="AA585" s="146"/>
    </row>
    <row r="586" spans="1:27" ht="15.75" customHeight="1" x14ac:dyDescent="0.25">
      <c r="A586" s="146"/>
      <c r="B586" s="146"/>
      <c r="C586" s="146"/>
      <c r="D586" s="146"/>
      <c r="E586" s="146"/>
      <c r="F586" s="146"/>
      <c r="G586" s="146"/>
      <c r="H586" s="146"/>
      <c r="I586" s="146"/>
      <c r="J586" s="146"/>
      <c r="K586" s="146"/>
      <c r="L586" s="146"/>
      <c r="M586" s="146"/>
      <c r="N586" s="146"/>
      <c r="O586" s="146"/>
      <c r="P586" s="146"/>
      <c r="Q586" s="146"/>
      <c r="R586" s="146"/>
      <c r="S586" s="146"/>
      <c r="T586" s="146"/>
      <c r="U586" s="146"/>
      <c r="V586" s="146"/>
      <c r="W586" s="146"/>
      <c r="X586" s="146"/>
      <c r="Y586" s="146"/>
      <c r="Z586" s="146"/>
      <c r="AA586" s="146"/>
    </row>
    <row r="587" spans="1:27" ht="15.75" customHeight="1" x14ac:dyDescent="0.25">
      <c r="A587" s="146"/>
      <c r="B587" s="146"/>
      <c r="C587" s="146"/>
      <c r="D587" s="146"/>
      <c r="E587" s="146"/>
      <c r="F587" s="146"/>
      <c r="G587" s="146"/>
      <c r="H587" s="146"/>
      <c r="I587" s="146"/>
      <c r="J587" s="146"/>
      <c r="K587" s="146"/>
      <c r="L587" s="146"/>
      <c r="M587" s="146"/>
      <c r="N587" s="146"/>
      <c r="O587" s="146"/>
      <c r="P587" s="146"/>
      <c r="Q587" s="146"/>
      <c r="R587" s="146"/>
      <c r="S587" s="146"/>
      <c r="T587" s="146"/>
      <c r="U587" s="146"/>
      <c r="V587" s="146"/>
      <c r="W587" s="146"/>
      <c r="X587" s="146"/>
      <c r="Y587" s="146"/>
      <c r="Z587" s="146"/>
      <c r="AA587" s="146"/>
    </row>
    <row r="588" spans="1:27" ht="15.75" customHeight="1" x14ac:dyDescent="0.25">
      <c r="A588" s="146"/>
      <c r="B588" s="146"/>
      <c r="C588" s="146"/>
      <c r="D588" s="146"/>
      <c r="E588" s="146"/>
      <c r="F588" s="146"/>
      <c r="G588" s="146"/>
      <c r="H588" s="146"/>
      <c r="I588" s="146"/>
      <c r="J588" s="146"/>
      <c r="K588" s="146"/>
      <c r="L588" s="146"/>
      <c r="M588" s="146"/>
      <c r="N588" s="146"/>
      <c r="O588" s="146"/>
      <c r="P588" s="146"/>
      <c r="Q588" s="146"/>
      <c r="R588" s="146"/>
      <c r="S588" s="146"/>
      <c r="T588" s="146"/>
      <c r="U588" s="146"/>
      <c r="V588" s="146"/>
      <c r="W588" s="146"/>
      <c r="X588" s="146"/>
      <c r="Y588" s="146"/>
      <c r="Z588" s="146"/>
      <c r="AA588" s="146"/>
    </row>
    <row r="589" spans="1:27" ht="15.75" customHeight="1" x14ac:dyDescent="0.25">
      <c r="A589" s="146"/>
      <c r="B589" s="146"/>
      <c r="C589" s="146"/>
      <c r="D589" s="146"/>
      <c r="E589" s="146"/>
      <c r="F589" s="146"/>
      <c r="G589" s="146"/>
      <c r="H589" s="146"/>
      <c r="I589" s="146"/>
      <c r="J589" s="146"/>
      <c r="K589" s="146"/>
      <c r="L589" s="146"/>
      <c r="M589" s="146"/>
      <c r="N589" s="146"/>
      <c r="O589" s="146"/>
      <c r="P589" s="146"/>
      <c r="Q589" s="146"/>
      <c r="R589" s="146"/>
      <c r="S589" s="146"/>
      <c r="T589" s="146"/>
      <c r="U589" s="146"/>
      <c r="V589" s="146"/>
      <c r="W589" s="146"/>
      <c r="X589" s="146"/>
      <c r="Y589" s="146"/>
      <c r="Z589" s="146"/>
      <c r="AA589" s="146"/>
    </row>
    <row r="590" spans="1:27" ht="15.75" customHeight="1" x14ac:dyDescent="0.25">
      <c r="A590" s="146"/>
      <c r="B590" s="146"/>
      <c r="C590" s="146"/>
      <c r="D590" s="146"/>
      <c r="E590" s="146"/>
      <c r="F590" s="146"/>
      <c r="G590" s="146"/>
      <c r="H590" s="146"/>
      <c r="I590" s="146"/>
      <c r="J590" s="146"/>
      <c r="K590" s="146"/>
      <c r="L590" s="146"/>
      <c r="M590" s="146"/>
      <c r="N590" s="146"/>
      <c r="O590" s="146"/>
      <c r="P590" s="146"/>
      <c r="Q590" s="146"/>
      <c r="R590" s="146"/>
      <c r="S590" s="146"/>
      <c r="T590" s="146"/>
      <c r="U590" s="146"/>
      <c r="V590" s="146"/>
      <c r="W590" s="146"/>
      <c r="X590" s="146"/>
      <c r="Y590" s="146"/>
      <c r="Z590" s="146"/>
      <c r="AA590" s="146"/>
    </row>
    <row r="591" spans="1:27" ht="15.75" customHeight="1" x14ac:dyDescent="0.25">
      <c r="A591" s="146"/>
      <c r="B591" s="146"/>
      <c r="C591" s="146"/>
      <c r="D591" s="146"/>
      <c r="E591" s="146"/>
      <c r="F591" s="146"/>
      <c r="G591" s="146"/>
      <c r="H591" s="146"/>
      <c r="I591" s="146"/>
      <c r="J591" s="146"/>
      <c r="K591" s="146"/>
      <c r="L591" s="146"/>
      <c r="M591" s="146"/>
      <c r="N591" s="146"/>
      <c r="O591" s="146"/>
      <c r="P591" s="146"/>
      <c r="Q591" s="146"/>
      <c r="R591" s="146"/>
      <c r="S591" s="146"/>
      <c r="T591" s="146"/>
      <c r="U591" s="146"/>
      <c r="V591" s="146"/>
      <c r="W591" s="146"/>
      <c r="X591" s="146"/>
      <c r="Y591" s="146"/>
      <c r="Z591" s="146"/>
      <c r="AA591" s="146"/>
    </row>
    <row r="592" spans="1:27" ht="15.75" customHeight="1" x14ac:dyDescent="0.25">
      <c r="A592" s="146"/>
      <c r="B592" s="146"/>
      <c r="C592" s="146"/>
      <c r="D592" s="146"/>
      <c r="E592" s="146"/>
      <c r="F592" s="146"/>
      <c r="G592" s="146"/>
      <c r="H592" s="146"/>
      <c r="I592" s="146"/>
      <c r="J592" s="146"/>
      <c r="K592" s="146"/>
      <c r="L592" s="146"/>
      <c r="M592" s="146"/>
      <c r="N592" s="146"/>
      <c r="O592" s="146"/>
      <c r="P592" s="146"/>
      <c r="Q592" s="146"/>
      <c r="R592" s="146"/>
      <c r="S592" s="146"/>
      <c r="T592" s="146"/>
      <c r="U592" s="146"/>
      <c r="V592" s="146"/>
      <c r="W592" s="146"/>
      <c r="X592" s="146"/>
      <c r="Y592" s="146"/>
      <c r="Z592" s="146"/>
      <c r="AA592" s="146"/>
    </row>
    <row r="593" spans="1:27" ht="15.75" customHeight="1" x14ac:dyDescent="0.25">
      <c r="A593" s="146"/>
      <c r="B593" s="146"/>
      <c r="C593" s="146"/>
      <c r="D593" s="146"/>
      <c r="E593" s="146"/>
      <c r="F593" s="146"/>
      <c r="G593" s="146"/>
      <c r="H593" s="146"/>
      <c r="I593" s="146"/>
      <c r="J593" s="146"/>
      <c r="K593" s="146"/>
      <c r="L593" s="146"/>
      <c r="M593" s="146"/>
      <c r="N593" s="146"/>
      <c r="O593" s="146"/>
      <c r="P593" s="146"/>
      <c r="Q593" s="146"/>
      <c r="R593" s="146"/>
      <c r="S593" s="146"/>
      <c r="T593" s="146"/>
      <c r="U593" s="146"/>
      <c r="V593" s="146"/>
      <c r="W593" s="146"/>
      <c r="X593" s="146"/>
      <c r="Y593" s="146"/>
      <c r="Z593" s="146"/>
      <c r="AA593" s="146"/>
    </row>
    <row r="594" spans="1:27" ht="15.75" customHeight="1" x14ac:dyDescent="0.25">
      <c r="A594" s="146"/>
      <c r="B594" s="146"/>
      <c r="C594" s="146"/>
      <c r="D594" s="146"/>
      <c r="E594" s="146"/>
      <c r="F594" s="146"/>
      <c r="G594" s="146"/>
      <c r="H594" s="146"/>
      <c r="I594" s="146"/>
      <c r="J594" s="146"/>
      <c r="K594" s="146"/>
      <c r="L594" s="146"/>
      <c r="M594" s="146"/>
      <c r="N594" s="146"/>
      <c r="O594" s="146"/>
      <c r="P594" s="146"/>
      <c r="Q594" s="146"/>
      <c r="R594" s="146"/>
      <c r="S594" s="146"/>
      <c r="T594" s="146"/>
      <c r="U594" s="146"/>
      <c r="V594" s="146"/>
      <c r="W594" s="146"/>
      <c r="X594" s="146"/>
      <c r="Y594" s="146"/>
      <c r="Z594" s="146"/>
      <c r="AA594" s="146"/>
    </row>
    <row r="595" spans="1:27" ht="15.75" customHeight="1" x14ac:dyDescent="0.25">
      <c r="A595" s="146"/>
      <c r="B595" s="146"/>
      <c r="C595" s="146"/>
      <c r="D595" s="146"/>
      <c r="E595" s="146"/>
      <c r="F595" s="146"/>
      <c r="G595" s="146"/>
      <c r="H595" s="146"/>
      <c r="I595" s="146"/>
      <c r="J595" s="146"/>
      <c r="K595" s="146"/>
      <c r="L595" s="146"/>
      <c r="M595" s="146"/>
      <c r="N595" s="146"/>
      <c r="O595" s="146"/>
      <c r="P595" s="146"/>
      <c r="Q595" s="146"/>
      <c r="R595" s="146"/>
      <c r="S595" s="146"/>
      <c r="T595" s="146"/>
      <c r="U595" s="146"/>
      <c r="V595" s="146"/>
      <c r="W595" s="146"/>
      <c r="X595" s="146"/>
      <c r="Y595" s="146"/>
      <c r="Z595" s="146"/>
      <c r="AA595" s="146"/>
    </row>
    <row r="596" spans="1:27" ht="15.75" customHeight="1" x14ac:dyDescent="0.25">
      <c r="A596" s="146"/>
      <c r="B596" s="146"/>
      <c r="C596" s="146"/>
      <c r="D596" s="146"/>
      <c r="E596" s="146"/>
      <c r="F596" s="146"/>
      <c r="G596" s="146"/>
      <c r="H596" s="146"/>
      <c r="I596" s="146"/>
      <c r="J596" s="146"/>
      <c r="K596" s="146"/>
      <c r="L596" s="146"/>
      <c r="M596" s="146"/>
      <c r="N596" s="146"/>
      <c r="O596" s="146"/>
      <c r="P596" s="146"/>
      <c r="Q596" s="146"/>
      <c r="R596" s="146"/>
      <c r="S596" s="146"/>
      <c r="T596" s="146"/>
      <c r="U596" s="146"/>
      <c r="V596" s="146"/>
      <c r="W596" s="146"/>
      <c r="X596" s="146"/>
      <c r="Y596" s="146"/>
      <c r="Z596" s="146"/>
      <c r="AA596" s="146"/>
    </row>
    <row r="597" spans="1:27" ht="15.75" customHeight="1" x14ac:dyDescent="0.25">
      <c r="A597" s="146"/>
      <c r="B597" s="146"/>
      <c r="C597" s="146"/>
      <c r="D597" s="146"/>
      <c r="E597" s="146"/>
      <c r="F597" s="146"/>
      <c r="G597" s="146"/>
      <c r="H597" s="146"/>
      <c r="I597" s="146"/>
      <c r="J597" s="146"/>
      <c r="K597" s="146"/>
      <c r="L597" s="146"/>
      <c r="M597" s="146"/>
      <c r="N597" s="146"/>
      <c r="O597" s="146"/>
      <c r="P597" s="146"/>
      <c r="Q597" s="146"/>
      <c r="R597" s="146"/>
      <c r="S597" s="146"/>
      <c r="T597" s="146"/>
      <c r="U597" s="146"/>
      <c r="V597" s="146"/>
      <c r="W597" s="146"/>
      <c r="X597" s="146"/>
      <c r="Y597" s="146"/>
      <c r="Z597" s="146"/>
      <c r="AA597" s="146"/>
    </row>
    <row r="598" spans="1:27" ht="15.75" customHeight="1" x14ac:dyDescent="0.25">
      <c r="A598" s="146"/>
      <c r="B598" s="146"/>
      <c r="C598" s="146"/>
      <c r="D598" s="146"/>
      <c r="E598" s="146"/>
      <c r="F598" s="146"/>
      <c r="G598" s="146"/>
      <c r="H598" s="146"/>
      <c r="I598" s="146"/>
      <c r="J598" s="146"/>
      <c r="K598" s="146"/>
      <c r="L598" s="146"/>
      <c r="M598" s="146"/>
      <c r="N598" s="146"/>
      <c r="O598" s="146"/>
      <c r="P598" s="146"/>
      <c r="Q598" s="146"/>
      <c r="R598" s="146"/>
      <c r="S598" s="146"/>
      <c r="T598" s="146"/>
      <c r="U598" s="146"/>
      <c r="V598" s="146"/>
      <c r="W598" s="146"/>
      <c r="X598" s="146"/>
      <c r="Y598" s="146"/>
      <c r="Z598" s="146"/>
      <c r="AA598" s="146"/>
    </row>
    <row r="599" spans="1:27" ht="15.75" customHeight="1" x14ac:dyDescent="0.25">
      <c r="A599" s="146"/>
      <c r="B599" s="146"/>
      <c r="C599" s="146"/>
      <c r="D599" s="146"/>
      <c r="E599" s="146"/>
      <c r="F599" s="146"/>
      <c r="G599" s="146"/>
      <c r="H599" s="146"/>
      <c r="I599" s="146"/>
      <c r="J599" s="146"/>
      <c r="K599" s="146"/>
      <c r="L599" s="146"/>
      <c r="M599" s="146"/>
      <c r="N599" s="146"/>
      <c r="O599" s="146"/>
      <c r="P599" s="146"/>
      <c r="Q599" s="146"/>
      <c r="R599" s="146"/>
      <c r="S599" s="146"/>
      <c r="T599" s="146"/>
      <c r="U599" s="146"/>
      <c r="V599" s="146"/>
      <c r="W599" s="146"/>
      <c r="X599" s="146"/>
      <c r="Y599" s="146"/>
      <c r="Z599" s="146"/>
      <c r="AA599" s="146"/>
    </row>
    <row r="600" spans="1:27" ht="15.75" customHeight="1" x14ac:dyDescent="0.25">
      <c r="A600" s="146"/>
      <c r="B600" s="146"/>
      <c r="C600" s="146"/>
      <c r="D600" s="146"/>
      <c r="E600" s="146"/>
      <c r="F600" s="146"/>
      <c r="G600" s="146"/>
      <c r="H600" s="146"/>
      <c r="I600" s="146"/>
      <c r="J600" s="146"/>
      <c r="K600" s="146"/>
      <c r="L600" s="146"/>
      <c r="M600" s="146"/>
      <c r="N600" s="146"/>
      <c r="O600" s="146"/>
      <c r="P600" s="146"/>
      <c r="Q600" s="146"/>
      <c r="R600" s="146"/>
      <c r="S600" s="146"/>
      <c r="T600" s="146"/>
      <c r="U600" s="146"/>
      <c r="V600" s="146"/>
      <c r="W600" s="146"/>
      <c r="X600" s="146"/>
      <c r="Y600" s="146"/>
      <c r="Z600" s="146"/>
      <c r="AA600" s="146"/>
    </row>
    <row r="601" spans="1:27" ht="15.75" customHeight="1" x14ac:dyDescent="0.25">
      <c r="A601" s="146"/>
      <c r="B601" s="146"/>
      <c r="C601" s="146"/>
      <c r="D601" s="146"/>
      <c r="E601" s="146"/>
      <c r="F601" s="146"/>
      <c r="G601" s="146"/>
      <c r="H601" s="146"/>
      <c r="I601" s="146"/>
      <c r="J601" s="146"/>
      <c r="K601" s="146"/>
      <c r="L601" s="146"/>
      <c r="M601" s="146"/>
      <c r="N601" s="146"/>
      <c r="O601" s="146"/>
      <c r="P601" s="146"/>
      <c r="Q601" s="146"/>
      <c r="R601" s="146"/>
      <c r="S601" s="146"/>
      <c r="T601" s="146"/>
      <c r="U601" s="146"/>
      <c r="V601" s="146"/>
      <c r="W601" s="146"/>
      <c r="X601" s="146"/>
      <c r="Y601" s="146"/>
      <c r="Z601" s="146"/>
      <c r="AA601" s="146"/>
    </row>
    <row r="602" spans="1:27" ht="15.75" customHeight="1" x14ac:dyDescent="0.25">
      <c r="A602" s="146"/>
      <c r="B602" s="146"/>
      <c r="C602" s="146"/>
      <c r="D602" s="146"/>
      <c r="E602" s="146"/>
      <c r="F602" s="146"/>
      <c r="G602" s="146"/>
      <c r="H602" s="146"/>
      <c r="I602" s="146"/>
      <c r="J602" s="146"/>
      <c r="K602" s="146"/>
      <c r="L602" s="146"/>
      <c r="M602" s="146"/>
      <c r="N602" s="146"/>
      <c r="O602" s="146"/>
      <c r="P602" s="146"/>
      <c r="Q602" s="146"/>
      <c r="R602" s="146"/>
      <c r="S602" s="146"/>
      <c r="T602" s="146"/>
      <c r="U602" s="146"/>
      <c r="V602" s="146"/>
      <c r="W602" s="146"/>
      <c r="X602" s="146"/>
      <c r="Y602" s="146"/>
      <c r="Z602" s="146"/>
      <c r="AA602" s="146"/>
    </row>
    <row r="603" spans="1:27" ht="15.75" customHeight="1" x14ac:dyDescent="0.25">
      <c r="A603" s="146"/>
      <c r="B603" s="146"/>
      <c r="C603" s="146"/>
      <c r="D603" s="146"/>
      <c r="E603" s="146"/>
      <c r="F603" s="146"/>
      <c r="G603" s="146"/>
      <c r="H603" s="146"/>
      <c r="I603" s="146"/>
      <c r="J603" s="146"/>
      <c r="K603" s="146"/>
      <c r="L603" s="146"/>
      <c r="M603" s="146"/>
      <c r="N603" s="146"/>
      <c r="O603" s="146"/>
      <c r="P603" s="146"/>
      <c r="Q603" s="146"/>
      <c r="R603" s="146"/>
      <c r="S603" s="146"/>
      <c r="T603" s="146"/>
      <c r="U603" s="146"/>
      <c r="V603" s="146"/>
      <c r="W603" s="146"/>
      <c r="X603" s="146"/>
      <c r="Y603" s="146"/>
      <c r="Z603" s="146"/>
      <c r="AA603" s="146"/>
    </row>
    <row r="604" spans="1:27" ht="15.75" customHeight="1" x14ac:dyDescent="0.25">
      <c r="A604" s="146"/>
      <c r="B604" s="146"/>
      <c r="C604" s="146"/>
      <c r="D604" s="146"/>
      <c r="E604" s="146"/>
      <c r="F604" s="146"/>
      <c r="G604" s="146"/>
      <c r="H604" s="146"/>
      <c r="I604" s="146"/>
      <c r="J604" s="146"/>
      <c r="K604" s="146"/>
      <c r="L604" s="146"/>
      <c r="M604" s="146"/>
      <c r="N604" s="146"/>
      <c r="O604" s="146"/>
      <c r="P604" s="146"/>
      <c r="Q604" s="146"/>
      <c r="R604" s="146"/>
      <c r="S604" s="146"/>
      <c r="T604" s="146"/>
      <c r="U604" s="146"/>
      <c r="V604" s="146"/>
      <c r="W604" s="146"/>
      <c r="X604" s="146"/>
      <c r="Y604" s="146"/>
      <c r="Z604" s="146"/>
      <c r="AA604" s="146"/>
    </row>
    <row r="605" spans="1:27" ht="15.75" customHeight="1" x14ac:dyDescent="0.25">
      <c r="A605" s="146"/>
      <c r="B605" s="146"/>
      <c r="C605" s="146"/>
      <c r="D605" s="146"/>
      <c r="E605" s="146"/>
      <c r="F605" s="146"/>
      <c r="G605" s="146"/>
      <c r="H605" s="146"/>
      <c r="I605" s="146"/>
      <c r="J605" s="146"/>
      <c r="K605" s="146"/>
      <c r="L605" s="146"/>
      <c r="M605" s="146"/>
      <c r="N605" s="146"/>
      <c r="O605" s="146"/>
      <c r="P605" s="146"/>
      <c r="Q605" s="146"/>
      <c r="R605" s="146"/>
      <c r="S605" s="146"/>
      <c r="T605" s="146"/>
      <c r="U605" s="146"/>
      <c r="V605" s="146"/>
      <c r="W605" s="146"/>
      <c r="X605" s="146"/>
      <c r="Y605" s="146"/>
      <c r="Z605" s="146"/>
      <c r="AA605" s="146"/>
    </row>
    <row r="606" spans="1:27" ht="15.75" customHeight="1" x14ac:dyDescent="0.25">
      <c r="A606" s="146"/>
      <c r="B606" s="146"/>
      <c r="C606" s="146"/>
      <c r="D606" s="146"/>
      <c r="E606" s="146"/>
      <c r="F606" s="146"/>
      <c r="G606" s="146"/>
      <c r="H606" s="146"/>
      <c r="I606" s="146"/>
      <c r="J606" s="146"/>
      <c r="K606" s="146"/>
      <c r="L606" s="146"/>
      <c r="M606" s="146"/>
      <c r="N606" s="146"/>
      <c r="O606" s="146"/>
      <c r="P606" s="146"/>
      <c r="Q606" s="146"/>
      <c r="R606" s="146"/>
      <c r="S606" s="146"/>
      <c r="T606" s="146"/>
      <c r="U606" s="146"/>
      <c r="V606" s="146"/>
      <c r="W606" s="146"/>
      <c r="X606" s="146"/>
      <c r="Y606" s="146"/>
      <c r="Z606" s="146"/>
      <c r="AA606" s="146"/>
    </row>
    <row r="607" spans="1:27" ht="15.75" customHeight="1" x14ac:dyDescent="0.25">
      <c r="A607" s="146"/>
      <c r="B607" s="146"/>
      <c r="C607" s="146"/>
      <c r="D607" s="146"/>
      <c r="E607" s="146"/>
      <c r="F607" s="146"/>
      <c r="G607" s="146"/>
      <c r="H607" s="146"/>
      <c r="I607" s="146"/>
      <c r="J607" s="146"/>
      <c r="K607" s="146"/>
      <c r="L607" s="146"/>
      <c r="M607" s="146"/>
      <c r="N607" s="146"/>
      <c r="O607" s="146"/>
      <c r="P607" s="146"/>
      <c r="Q607" s="146"/>
      <c r="R607" s="146"/>
      <c r="S607" s="146"/>
      <c r="T607" s="146"/>
      <c r="U607" s="146"/>
      <c r="V607" s="146"/>
      <c r="W607" s="146"/>
      <c r="X607" s="146"/>
      <c r="Y607" s="146"/>
      <c r="Z607" s="146"/>
      <c r="AA607" s="146"/>
    </row>
    <row r="608" spans="1:27" ht="15.75" customHeight="1" x14ac:dyDescent="0.25">
      <c r="A608" s="146"/>
      <c r="B608" s="146"/>
      <c r="C608" s="146"/>
      <c r="D608" s="146"/>
      <c r="E608" s="146"/>
      <c r="F608" s="146"/>
      <c r="G608" s="146"/>
      <c r="H608" s="146"/>
      <c r="I608" s="146"/>
      <c r="J608" s="146"/>
      <c r="K608" s="146"/>
      <c r="L608" s="146"/>
      <c r="M608" s="146"/>
      <c r="N608" s="146"/>
      <c r="O608" s="146"/>
      <c r="P608" s="146"/>
      <c r="Q608" s="146"/>
      <c r="R608" s="146"/>
      <c r="S608" s="146"/>
      <c r="T608" s="146"/>
      <c r="U608" s="146"/>
      <c r="V608" s="146"/>
      <c r="W608" s="146"/>
      <c r="X608" s="146"/>
      <c r="Y608" s="146"/>
      <c r="Z608" s="146"/>
      <c r="AA608" s="146"/>
    </row>
    <row r="609" spans="1:27" ht="15.75" customHeight="1" x14ac:dyDescent="0.25">
      <c r="A609" s="146"/>
      <c r="B609" s="146"/>
      <c r="C609" s="146"/>
      <c r="D609" s="146"/>
      <c r="E609" s="146"/>
      <c r="F609" s="146"/>
      <c r="G609" s="146"/>
      <c r="H609" s="146"/>
      <c r="I609" s="146"/>
      <c r="J609" s="146"/>
      <c r="K609" s="146"/>
      <c r="L609" s="146"/>
      <c r="M609" s="146"/>
      <c r="N609" s="146"/>
      <c r="O609" s="146"/>
      <c r="P609" s="146"/>
      <c r="Q609" s="146"/>
      <c r="R609" s="146"/>
      <c r="S609" s="146"/>
      <c r="T609" s="146"/>
      <c r="U609" s="146"/>
      <c r="V609" s="146"/>
      <c r="W609" s="146"/>
      <c r="X609" s="146"/>
      <c r="Y609" s="146"/>
      <c r="Z609" s="146"/>
      <c r="AA609" s="146"/>
    </row>
    <row r="610" spans="1:27" ht="15.75" customHeight="1" x14ac:dyDescent="0.25">
      <c r="A610" s="146"/>
      <c r="B610" s="146"/>
      <c r="C610" s="146"/>
      <c r="D610" s="146"/>
      <c r="E610" s="146"/>
      <c r="F610" s="146"/>
      <c r="G610" s="146"/>
      <c r="H610" s="146"/>
      <c r="I610" s="146"/>
      <c r="J610" s="146"/>
      <c r="K610" s="146"/>
      <c r="L610" s="146"/>
      <c r="M610" s="146"/>
      <c r="N610" s="146"/>
      <c r="O610" s="146"/>
      <c r="P610" s="146"/>
      <c r="Q610" s="146"/>
      <c r="R610" s="146"/>
      <c r="S610" s="146"/>
      <c r="T610" s="146"/>
      <c r="U610" s="146"/>
      <c r="V610" s="146"/>
      <c r="W610" s="146"/>
      <c r="X610" s="146"/>
      <c r="Y610" s="146"/>
      <c r="Z610" s="146"/>
      <c r="AA610" s="146"/>
    </row>
    <row r="611" spans="1:27" ht="15.75" customHeight="1" x14ac:dyDescent="0.25">
      <c r="A611" s="146"/>
      <c r="B611" s="146"/>
      <c r="C611" s="146"/>
      <c r="D611" s="146"/>
      <c r="E611" s="146"/>
      <c r="F611" s="146"/>
      <c r="G611" s="146"/>
      <c r="H611" s="146"/>
      <c r="I611" s="146"/>
      <c r="J611" s="146"/>
      <c r="K611" s="146"/>
      <c r="L611" s="146"/>
      <c r="M611" s="146"/>
      <c r="N611" s="146"/>
      <c r="O611" s="146"/>
      <c r="P611" s="146"/>
      <c r="Q611" s="146"/>
      <c r="R611" s="146"/>
      <c r="S611" s="146"/>
      <c r="T611" s="146"/>
      <c r="U611" s="146"/>
      <c r="V611" s="146"/>
      <c r="W611" s="146"/>
      <c r="X611" s="146"/>
      <c r="Y611" s="146"/>
      <c r="Z611" s="146"/>
      <c r="AA611" s="146"/>
    </row>
    <row r="612" spans="1:27" ht="15.75" customHeight="1" x14ac:dyDescent="0.25">
      <c r="A612" s="146"/>
      <c r="B612" s="146"/>
      <c r="C612" s="146"/>
      <c r="D612" s="146"/>
      <c r="E612" s="146"/>
      <c r="F612" s="146"/>
      <c r="G612" s="146"/>
      <c r="H612" s="146"/>
      <c r="I612" s="146"/>
      <c r="J612" s="146"/>
      <c r="K612" s="146"/>
      <c r="L612" s="146"/>
      <c r="M612" s="146"/>
      <c r="N612" s="146"/>
      <c r="O612" s="146"/>
      <c r="P612" s="146"/>
      <c r="Q612" s="146"/>
      <c r="R612" s="146"/>
      <c r="S612" s="146"/>
      <c r="T612" s="146"/>
      <c r="U612" s="146"/>
      <c r="V612" s="146"/>
      <c r="W612" s="146"/>
      <c r="X612" s="146"/>
      <c r="Y612" s="146"/>
      <c r="Z612" s="146"/>
      <c r="AA612" s="146"/>
    </row>
    <row r="613" spans="1:27" ht="15.75" customHeight="1" x14ac:dyDescent="0.25">
      <c r="A613" s="146"/>
      <c r="B613" s="146"/>
      <c r="C613" s="146"/>
      <c r="D613" s="146"/>
      <c r="E613" s="146"/>
      <c r="F613" s="146"/>
      <c r="G613" s="146"/>
      <c r="H613" s="146"/>
      <c r="I613" s="146"/>
      <c r="J613" s="146"/>
      <c r="K613" s="146"/>
      <c r="L613" s="146"/>
      <c r="M613" s="146"/>
      <c r="N613" s="146"/>
      <c r="O613" s="146"/>
      <c r="P613" s="146"/>
      <c r="Q613" s="146"/>
      <c r="R613" s="146"/>
      <c r="S613" s="146"/>
      <c r="T613" s="146"/>
      <c r="U613" s="146"/>
      <c r="V613" s="146"/>
      <c r="W613" s="146"/>
      <c r="X613" s="146"/>
      <c r="Y613" s="146"/>
      <c r="Z613" s="146"/>
      <c r="AA613" s="146"/>
    </row>
    <row r="614" spans="1:27" ht="15.75" customHeight="1" x14ac:dyDescent="0.25">
      <c r="A614" s="146"/>
      <c r="B614" s="146"/>
      <c r="C614" s="146"/>
      <c r="D614" s="146"/>
      <c r="E614" s="146"/>
      <c r="F614" s="146"/>
      <c r="G614" s="146"/>
      <c r="H614" s="146"/>
      <c r="I614" s="146"/>
      <c r="J614" s="146"/>
      <c r="K614" s="146"/>
      <c r="L614" s="146"/>
      <c r="M614" s="146"/>
      <c r="N614" s="146"/>
      <c r="O614" s="146"/>
      <c r="P614" s="146"/>
      <c r="Q614" s="146"/>
      <c r="R614" s="146"/>
      <c r="S614" s="146"/>
      <c r="T614" s="146"/>
      <c r="U614" s="146"/>
      <c r="V614" s="146"/>
      <c r="W614" s="146"/>
      <c r="X614" s="146"/>
      <c r="Y614" s="146"/>
      <c r="Z614" s="146"/>
      <c r="AA614" s="146"/>
    </row>
    <row r="615" spans="1:27" ht="15.75" customHeight="1" x14ac:dyDescent="0.25">
      <c r="A615" s="146"/>
      <c r="B615" s="146"/>
      <c r="C615" s="146"/>
      <c r="D615" s="146"/>
      <c r="E615" s="146"/>
      <c r="F615" s="146"/>
      <c r="G615" s="146"/>
      <c r="H615" s="146"/>
      <c r="I615" s="146"/>
      <c r="J615" s="146"/>
      <c r="K615" s="146"/>
      <c r="L615" s="146"/>
      <c r="M615" s="146"/>
      <c r="N615" s="146"/>
      <c r="O615" s="146"/>
      <c r="P615" s="146"/>
      <c r="Q615" s="146"/>
      <c r="R615" s="146"/>
      <c r="S615" s="146"/>
      <c r="T615" s="146"/>
      <c r="U615" s="146"/>
      <c r="V615" s="146"/>
      <c r="W615" s="146"/>
      <c r="X615" s="146"/>
      <c r="Y615" s="146"/>
      <c r="Z615" s="146"/>
      <c r="AA615" s="146"/>
    </row>
    <row r="616" spans="1:27" ht="15.75" customHeight="1" x14ac:dyDescent="0.25">
      <c r="A616" s="146"/>
      <c r="B616" s="146"/>
      <c r="C616" s="146"/>
      <c r="D616" s="146"/>
      <c r="E616" s="146"/>
      <c r="F616" s="146"/>
      <c r="G616" s="146"/>
      <c r="H616" s="146"/>
      <c r="I616" s="146"/>
      <c r="J616" s="146"/>
      <c r="K616" s="146"/>
      <c r="L616" s="146"/>
      <c r="M616" s="146"/>
      <c r="N616" s="146"/>
      <c r="O616" s="146"/>
      <c r="P616" s="146"/>
      <c r="Q616" s="146"/>
      <c r="R616" s="146"/>
      <c r="S616" s="146"/>
      <c r="T616" s="146"/>
      <c r="U616" s="146"/>
      <c r="V616" s="146"/>
      <c r="W616" s="146"/>
      <c r="X616" s="146"/>
      <c r="Y616" s="146"/>
      <c r="Z616" s="146"/>
      <c r="AA616" s="146"/>
    </row>
    <row r="617" spans="1:27" ht="15.75" customHeight="1" x14ac:dyDescent="0.25">
      <c r="A617" s="146"/>
      <c r="B617" s="146"/>
      <c r="C617" s="146"/>
      <c r="D617" s="146"/>
      <c r="E617" s="146"/>
      <c r="F617" s="146"/>
      <c r="G617" s="146"/>
      <c r="H617" s="146"/>
      <c r="I617" s="146"/>
      <c r="J617" s="146"/>
      <c r="K617" s="146"/>
      <c r="L617" s="146"/>
      <c r="M617" s="146"/>
      <c r="N617" s="146"/>
      <c r="O617" s="146"/>
      <c r="P617" s="146"/>
      <c r="Q617" s="146"/>
      <c r="R617" s="146"/>
      <c r="S617" s="146"/>
      <c r="T617" s="146"/>
      <c r="U617" s="146"/>
      <c r="V617" s="146"/>
      <c r="W617" s="146"/>
      <c r="X617" s="146"/>
      <c r="Y617" s="146"/>
      <c r="Z617" s="146"/>
      <c r="AA617" s="146"/>
    </row>
    <row r="618" spans="1:27" ht="15.75" customHeight="1" x14ac:dyDescent="0.25">
      <c r="A618" s="146"/>
      <c r="B618" s="146"/>
      <c r="C618" s="146"/>
      <c r="D618" s="146"/>
      <c r="E618" s="146"/>
      <c r="F618" s="146"/>
      <c r="G618" s="146"/>
      <c r="H618" s="146"/>
      <c r="I618" s="146"/>
      <c r="J618" s="146"/>
      <c r="K618" s="146"/>
      <c r="L618" s="146"/>
      <c r="M618" s="146"/>
      <c r="N618" s="146"/>
      <c r="O618" s="146"/>
      <c r="P618" s="146"/>
      <c r="Q618" s="146"/>
      <c r="R618" s="146"/>
      <c r="S618" s="146"/>
      <c r="T618" s="146"/>
      <c r="U618" s="146"/>
      <c r="V618" s="146"/>
      <c r="W618" s="146"/>
      <c r="X618" s="146"/>
      <c r="Y618" s="146"/>
      <c r="Z618" s="146"/>
      <c r="AA618" s="146"/>
    </row>
    <row r="619" spans="1:27" ht="15.75" customHeight="1" x14ac:dyDescent="0.25">
      <c r="A619" s="146"/>
      <c r="B619" s="146"/>
      <c r="C619" s="146"/>
      <c r="D619" s="146"/>
      <c r="E619" s="146"/>
      <c r="F619" s="146"/>
      <c r="G619" s="146"/>
      <c r="H619" s="146"/>
      <c r="I619" s="146"/>
      <c r="J619" s="146"/>
      <c r="K619" s="146"/>
      <c r="L619" s="146"/>
      <c r="M619" s="146"/>
      <c r="N619" s="146"/>
      <c r="O619" s="146"/>
      <c r="P619" s="146"/>
      <c r="Q619" s="146"/>
      <c r="R619" s="146"/>
      <c r="S619" s="146"/>
      <c r="T619" s="146"/>
      <c r="U619" s="146"/>
      <c r="V619" s="146"/>
      <c r="W619" s="146"/>
      <c r="X619" s="146"/>
      <c r="Y619" s="146"/>
      <c r="Z619" s="146"/>
      <c r="AA619" s="146"/>
    </row>
    <row r="620" spans="1:27" ht="15.75" customHeight="1" x14ac:dyDescent="0.25">
      <c r="A620" s="146"/>
      <c r="B620" s="146"/>
      <c r="C620" s="146"/>
      <c r="D620" s="146"/>
      <c r="E620" s="146"/>
      <c r="F620" s="146"/>
      <c r="G620" s="146"/>
      <c r="H620" s="146"/>
      <c r="I620" s="146"/>
      <c r="J620" s="146"/>
      <c r="K620" s="146"/>
      <c r="L620" s="146"/>
      <c r="M620" s="146"/>
      <c r="N620" s="146"/>
      <c r="O620" s="146"/>
      <c r="P620" s="146"/>
      <c r="Q620" s="146"/>
      <c r="R620" s="146"/>
      <c r="S620" s="146"/>
      <c r="T620" s="146"/>
      <c r="U620" s="146"/>
      <c r="V620" s="146"/>
      <c r="W620" s="146"/>
      <c r="X620" s="146"/>
      <c r="Y620" s="146"/>
      <c r="Z620" s="146"/>
      <c r="AA620" s="146"/>
    </row>
    <row r="621" spans="1:27" ht="15.75" customHeight="1" x14ac:dyDescent="0.25">
      <c r="A621" s="146"/>
      <c r="B621" s="146"/>
      <c r="C621" s="146"/>
      <c r="D621" s="146"/>
      <c r="E621" s="146"/>
      <c r="F621" s="146"/>
      <c r="G621" s="146"/>
      <c r="H621" s="146"/>
      <c r="I621" s="146"/>
      <c r="J621" s="146"/>
      <c r="K621" s="146"/>
      <c r="L621" s="146"/>
      <c r="M621" s="146"/>
      <c r="N621" s="146"/>
      <c r="O621" s="146"/>
      <c r="P621" s="146"/>
      <c r="Q621" s="146"/>
      <c r="R621" s="146"/>
      <c r="S621" s="146"/>
      <c r="T621" s="146"/>
      <c r="U621" s="146"/>
      <c r="V621" s="146"/>
      <c r="W621" s="146"/>
      <c r="X621" s="146"/>
      <c r="Y621" s="146"/>
      <c r="Z621" s="146"/>
      <c r="AA621" s="146"/>
    </row>
    <row r="622" spans="1:27" ht="15.75" customHeight="1" x14ac:dyDescent="0.25">
      <c r="A622" s="146"/>
      <c r="B622" s="146"/>
      <c r="C622" s="146"/>
      <c r="D622" s="146"/>
      <c r="E622" s="146"/>
      <c r="F622" s="146"/>
      <c r="G622" s="146"/>
      <c r="H622" s="146"/>
      <c r="I622" s="146"/>
      <c r="J622" s="146"/>
      <c r="K622" s="146"/>
      <c r="L622" s="146"/>
      <c r="M622" s="146"/>
      <c r="N622" s="146"/>
      <c r="O622" s="146"/>
      <c r="P622" s="146"/>
      <c r="Q622" s="146"/>
      <c r="R622" s="146"/>
      <c r="S622" s="146"/>
      <c r="T622" s="146"/>
      <c r="U622" s="146"/>
      <c r="V622" s="146"/>
      <c r="W622" s="146"/>
      <c r="X622" s="146"/>
      <c r="Y622" s="146"/>
      <c r="Z622" s="146"/>
      <c r="AA622" s="146"/>
    </row>
    <row r="623" spans="1:27" ht="15.75" customHeight="1" x14ac:dyDescent="0.25">
      <c r="A623" s="146"/>
      <c r="B623" s="146"/>
      <c r="C623" s="146"/>
      <c r="D623" s="146"/>
      <c r="E623" s="146"/>
      <c r="F623" s="146"/>
      <c r="G623" s="146"/>
      <c r="H623" s="146"/>
      <c r="I623" s="146"/>
      <c r="J623" s="146"/>
      <c r="K623" s="146"/>
      <c r="L623" s="146"/>
      <c r="M623" s="146"/>
      <c r="N623" s="146"/>
      <c r="O623" s="146"/>
      <c r="P623" s="146"/>
      <c r="Q623" s="146"/>
      <c r="R623" s="146"/>
      <c r="S623" s="146"/>
      <c r="T623" s="146"/>
      <c r="U623" s="146"/>
      <c r="V623" s="146"/>
      <c r="W623" s="146"/>
      <c r="X623" s="146"/>
      <c r="Y623" s="146"/>
      <c r="Z623" s="146"/>
      <c r="AA623" s="146"/>
    </row>
    <row r="624" spans="1:27" ht="15.75" customHeight="1" x14ac:dyDescent="0.25">
      <c r="A624" s="146"/>
      <c r="B624" s="146"/>
      <c r="C624" s="146"/>
      <c r="D624" s="146"/>
      <c r="E624" s="146"/>
      <c r="F624" s="146"/>
      <c r="G624" s="146"/>
      <c r="H624" s="146"/>
      <c r="I624" s="146"/>
      <c r="J624" s="146"/>
      <c r="K624" s="146"/>
      <c r="L624" s="146"/>
      <c r="M624" s="146"/>
      <c r="N624" s="146"/>
      <c r="O624" s="146"/>
      <c r="P624" s="146"/>
      <c r="Q624" s="146"/>
      <c r="R624" s="146"/>
      <c r="S624" s="146"/>
      <c r="T624" s="146"/>
      <c r="U624" s="146"/>
      <c r="V624" s="146"/>
      <c r="W624" s="146"/>
      <c r="X624" s="146"/>
      <c r="Y624" s="146"/>
      <c r="Z624" s="146"/>
      <c r="AA624" s="146"/>
    </row>
    <row r="625" spans="1:27" ht="15.75" customHeight="1" x14ac:dyDescent="0.25">
      <c r="A625" s="146"/>
      <c r="B625" s="146"/>
      <c r="C625" s="146"/>
      <c r="D625" s="146"/>
      <c r="E625" s="146"/>
      <c r="F625" s="146"/>
      <c r="G625" s="146"/>
      <c r="H625" s="146"/>
      <c r="I625" s="146"/>
      <c r="J625" s="146"/>
      <c r="K625" s="146"/>
      <c r="L625" s="146"/>
      <c r="M625" s="146"/>
      <c r="N625" s="146"/>
      <c r="O625" s="146"/>
      <c r="P625" s="146"/>
      <c r="Q625" s="146"/>
      <c r="R625" s="146"/>
      <c r="S625" s="146"/>
      <c r="T625" s="146"/>
      <c r="U625" s="146"/>
      <c r="V625" s="146"/>
      <c r="W625" s="146"/>
      <c r="X625" s="146"/>
      <c r="Y625" s="146"/>
      <c r="Z625" s="146"/>
      <c r="AA625" s="146"/>
    </row>
    <row r="626" spans="1:27" ht="15.75" customHeight="1" x14ac:dyDescent="0.25">
      <c r="A626" s="146"/>
      <c r="B626" s="146"/>
      <c r="C626" s="146"/>
      <c r="D626" s="146"/>
      <c r="E626" s="146"/>
      <c r="F626" s="146"/>
      <c r="G626" s="146"/>
      <c r="H626" s="146"/>
      <c r="I626" s="146"/>
      <c r="J626" s="146"/>
      <c r="K626" s="146"/>
      <c r="L626" s="146"/>
      <c r="M626" s="146"/>
      <c r="N626" s="146"/>
      <c r="O626" s="146"/>
      <c r="P626" s="146"/>
      <c r="Q626" s="146"/>
      <c r="R626" s="146"/>
      <c r="S626" s="146"/>
      <c r="T626" s="146"/>
      <c r="U626" s="146"/>
      <c r="V626" s="146"/>
      <c r="W626" s="146"/>
      <c r="X626" s="146"/>
      <c r="Y626" s="146"/>
      <c r="Z626" s="146"/>
      <c r="AA626" s="146"/>
    </row>
    <row r="627" spans="1:27" ht="15.75" customHeight="1" x14ac:dyDescent="0.25">
      <c r="A627" s="146"/>
      <c r="B627" s="146"/>
      <c r="C627" s="146"/>
      <c r="D627" s="146"/>
      <c r="E627" s="146"/>
      <c r="F627" s="146"/>
      <c r="G627" s="146"/>
      <c r="H627" s="146"/>
      <c r="I627" s="146"/>
      <c r="J627" s="146"/>
      <c r="K627" s="146"/>
      <c r="L627" s="146"/>
      <c r="M627" s="146"/>
      <c r="N627" s="146"/>
      <c r="O627" s="146"/>
      <c r="P627" s="146"/>
      <c r="Q627" s="146"/>
      <c r="R627" s="146"/>
      <c r="S627" s="146"/>
      <c r="T627" s="146"/>
      <c r="U627" s="146"/>
      <c r="V627" s="146"/>
      <c r="W627" s="146"/>
      <c r="X627" s="146"/>
      <c r="Y627" s="146"/>
      <c r="Z627" s="146"/>
      <c r="AA627" s="146"/>
    </row>
    <row r="628" spans="1:27" ht="15.75" customHeight="1" x14ac:dyDescent="0.25">
      <c r="A628" s="146"/>
      <c r="B628" s="146"/>
      <c r="C628" s="146"/>
      <c r="D628" s="146"/>
      <c r="E628" s="146"/>
      <c r="F628" s="146"/>
      <c r="G628" s="146"/>
      <c r="H628" s="146"/>
      <c r="I628" s="146"/>
      <c r="J628" s="146"/>
      <c r="K628" s="146"/>
      <c r="L628" s="146"/>
      <c r="M628" s="146"/>
      <c r="N628" s="146"/>
      <c r="O628" s="146"/>
      <c r="P628" s="146"/>
      <c r="Q628" s="146"/>
      <c r="R628" s="146"/>
      <c r="S628" s="146"/>
      <c r="T628" s="146"/>
      <c r="U628" s="146"/>
      <c r="V628" s="146"/>
      <c r="W628" s="146"/>
      <c r="X628" s="146"/>
      <c r="Y628" s="146"/>
      <c r="Z628" s="146"/>
      <c r="AA628" s="146"/>
    </row>
    <row r="629" spans="1:27" ht="15.75" customHeight="1" x14ac:dyDescent="0.25">
      <c r="A629" s="146"/>
      <c r="B629" s="146"/>
      <c r="C629" s="146"/>
      <c r="D629" s="146"/>
      <c r="E629" s="146"/>
      <c r="F629" s="146"/>
      <c r="G629" s="146"/>
      <c r="H629" s="146"/>
      <c r="I629" s="146"/>
      <c r="J629" s="146"/>
      <c r="K629" s="146"/>
      <c r="L629" s="146"/>
      <c r="M629" s="146"/>
      <c r="N629" s="146"/>
      <c r="O629" s="146"/>
      <c r="P629" s="146"/>
      <c r="Q629" s="146"/>
      <c r="R629" s="146"/>
      <c r="S629" s="146"/>
      <c r="T629" s="146"/>
      <c r="U629" s="146"/>
      <c r="V629" s="146"/>
      <c r="W629" s="146"/>
      <c r="X629" s="146"/>
      <c r="Y629" s="146"/>
      <c r="Z629" s="146"/>
      <c r="AA629" s="146"/>
    </row>
    <row r="630" spans="1:27" ht="15.75" customHeight="1" x14ac:dyDescent="0.25">
      <c r="A630" s="146"/>
      <c r="B630" s="146"/>
      <c r="C630" s="146"/>
      <c r="D630" s="146"/>
      <c r="E630" s="146"/>
      <c r="F630" s="146"/>
      <c r="G630" s="146"/>
      <c r="H630" s="146"/>
      <c r="I630" s="146"/>
      <c r="J630" s="146"/>
      <c r="K630" s="146"/>
      <c r="L630" s="146"/>
      <c r="M630" s="146"/>
      <c r="N630" s="146"/>
      <c r="O630" s="146"/>
      <c r="P630" s="146"/>
      <c r="Q630" s="146"/>
      <c r="R630" s="146"/>
      <c r="S630" s="146"/>
      <c r="T630" s="146"/>
      <c r="U630" s="146"/>
      <c r="V630" s="146"/>
      <c r="W630" s="146"/>
      <c r="X630" s="146"/>
      <c r="Y630" s="146"/>
      <c r="Z630" s="146"/>
      <c r="AA630" s="146"/>
    </row>
    <row r="631" spans="1:27" ht="15.75" customHeight="1" x14ac:dyDescent="0.25">
      <c r="A631" s="146"/>
      <c r="B631" s="146"/>
      <c r="C631" s="146"/>
      <c r="D631" s="146"/>
      <c r="E631" s="146"/>
      <c r="F631" s="146"/>
      <c r="G631" s="146"/>
      <c r="H631" s="146"/>
      <c r="I631" s="146"/>
      <c r="J631" s="146"/>
      <c r="K631" s="146"/>
      <c r="L631" s="146"/>
      <c r="M631" s="146"/>
      <c r="N631" s="146"/>
      <c r="O631" s="146"/>
      <c r="P631" s="146"/>
      <c r="Q631" s="146"/>
      <c r="R631" s="146"/>
      <c r="S631" s="146"/>
      <c r="T631" s="146"/>
      <c r="U631" s="146"/>
      <c r="V631" s="146"/>
      <c r="W631" s="146"/>
      <c r="X631" s="146"/>
      <c r="Y631" s="146"/>
      <c r="Z631" s="146"/>
      <c r="AA631" s="146"/>
    </row>
    <row r="632" spans="1:27" ht="15.75" customHeight="1" x14ac:dyDescent="0.25">
      <c r="A632" s="146"/>
      <c r="B632" s="146"/>
      <c r="C632" s="146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  <c r="R632" s="146"/>
      <c r="S632" s="146"/>
      <c r="T632" s="146"/>
      <c r="U632" s="146"/>
      <c r="V632" s="146"/>
      <c r="W632" s="146"/>
      <c r="X632" s="146"/>
      <c r="Y632" s="146"/>
      <c r="Z632" s="146"/>
      <c r="AA632" s="146"/>
    </row>
    <row r="633" spans="1:27" ht="15.75" customHeight="1" x14ac:dyDescent="0.25">
      <c r="A633" s="146"/>
      <c r="B633" s="146"/>
      <c r="C633" s="146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  <c r="R633" s="146"/>
      <c r="S633" s="146"/>
      <c r="T633" s="146"/>
      <c r="U633" s="146"/>
      <c r="V633" s="146"/>
      <c r="W633" s="146"/>
      <c r="X633" s="146"/>
      <c r="Y633" s="146"/>
      <c r="Z633" s="146"/>
      <c r="AA633" s="146"/>
    </row>
    <row r="634" spans="1:27" ht="15.75" customHeight="1" x14ac:dyDescent="0.25">
      <c r="A634" s="146"/>
      <c r="B634" s="146"/>
      <c r="C634" s="146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  <c r="R634" s="146"/>
      <c r="S634" s="146"/>
      <c r="T634" s="146"/>
      <c r="U634" s="146"/>
      <c r="V634" s="146"/>
      <c r="W634" s="146"/>
      <c r="X634" s="146"/>
      <c r="Y634" s="146"/>
      <c r="Z634" s="146"/>
      <c r="AA634" s="146"/>
    </row>
    <row r="635" spans="1:27" ht="15.75" customHeight="1" x14ac:dyDescent="0.25">
      <c r="A635" s="146"/>
      <c r="B635" s="146"/>
      <c r="C635" s="146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  <c r="R635" s="146"/>
      <c r="S635" s="146"/>
      <c r="T635" s="146"/>
      <c r="U635" s="146"/>
      <c r="V635" s="146"/>
      <c r="W635" s="146"/>
      <c r="X635" s="146"/>
      <c r="Y635" s="146"/>
      <c r="Z635" s="146"/>
      <c r="AA635" s="146"/>
    </row>
    <row r="636" spans="1:27" ht="15.75" customHeight="1" x14ac:dyDescent="0.25">
      <c r="A636" s="146"/>
      <c r="B636" s="146"/>
      <c r="C636" s="146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  <c r="R636" s="146"/>
      <c r="S636" s="146"/>
      <c r="T636" s="146"/>
      <c r="U636" s="146"/>
      <c r="V636" s="146"/>
      <c r="W636" s="146"/>
      <c r="X636" s="146"/>
      <c r="Y636" s="146"/>
      <c r="Z636" s="146"/>
      <c r="AA636" s="146"/>
    </row>
    <row r="637" spans="1:27" ht="15.75" customHeight="1" x14ac:dyDescent="0.25">
      <c r="A637" s="146"/>
      <c r="B637" s="146"/>
      <c r="C637" s="146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  <c r="R637" s="146"/>
      <c r="S637" s="146"/>
      <c r="T637" s="146"/>
      <c r="U637" s="146"/>
      <c r="V637" s="146"/>
      <c r="W637" s="146"/>
      <c r="X637" s="146"/>
      <c r="Y637" s="146"/>
      <c r="Z637" s="146"/>
      <c r="AA637" s="146"/>
    </row>
    <row r="638" spans="1:27" ht="15.75" customHeight="1" x14ac:dyDescent="0.25">
      <c r="A638" s="146"/>
      <c r="B638" s="146"/>
      <c r="C638" s="146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  <c r="R638" s="146"/>
      <c r="S638" s="146"/>
      <c r="T638" s="146"/>
      <c r="U638" s="146"/>
      <c r="V638" s="146"/>
      <c r="W638" s="146"/>
      <c r="X638" s="146"/>
      <c r="Y638" s="146"/>
      <c r="Z638" s="146"/>
      <c r="AA638" s="146"/>
    </row>
    <row r="639" spans="1:27" ht="15.75" customHeight="1" x14ac:dyDescent="0.25">
      <c r="A639" s="146"/>
      <c r="B639" s="146"/>
      <c r="C639" s="146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  <c r="R639" s="146"/>
      <c r="S639" s="146"/>
      <c r="T639" s="146"/>
      <c r="U639" s="146"/>
      <c r="V639" s="146"/>
      <c r="W639" s="146"/>
      <c r="X639" s="146"/>
      <c r="Y639" s="146"/>
      <c r="Z639" s="146"/>
      <c r="AA639" s="146"/>
    </row>
    <row r="640" spans="1:27" ht="15.75" customHeight="1" x14ac:dyDescent="0.25">
      <c r="A640" s="146"/>
      <c r="B640" s="146"/>
      <c r="C640" s="146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  <c r="R640" s="146"/>
      <c r="S640" s="146"/>
      <c r="T640" s="146"/>
      <c r="U640" s="146"/>
      <c r="V640" s="146"/>
      <c r="W640" s="146"/>
      <c r="X640" s="146"/>
      <c r="Y640" s="146"/>
      <c r="Z640" s="146"/>
      <c r="AA640" s="146"/>
    </row>
    <row r="641" spans="1:27" ht="15.75" customHeight="1" x14ac:dyDescent="0.25">
      <c r="A641" s="146"/>
      <c r="B641" s="146"/>
      <c r="C641" s="146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  <c r="R641" s="146"/>
      <c r="S641" s="146"/>
      <c r="T641" s="146"/>
      <c r="U641" s="146"/>
      <c r="V641" s="146"/>
      <c r="W641" s="146"/>
      <c r="X641" s="146"/>
      <c r="Y641" s="146"/>
      <c r="Z641" s="146"/>
      <c r="AA641" s="146"/>
    </row>
    <row r="642" spans="1:27" ht="15.75" customHeight="1" x14ac:dyDescent="0.25">
      <c r="A642" s="146"/>
      <c r="B642" s="146"/>
      <c r="C642" s="146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  <c r="R642" s="146"/>
      <c r="S642" s="146"/>
      <c r="T642" s="146"/>
      <c r="U642" s="146"/>
      <c r="V642" s="146"/>
      <c r="W642" s="146"/>
      <c r="X642" s="146"/>
      <c r="Y642" s="146"/>
      <c r="Z642" s="146"/>
      <c r="AA642" s="146"/>
    </row>
    <row r="643" spans="1:27" ht="15.75" customHeight="1" x14ac:dyDescent="0.25">
      <c r="A643" s="146"/>
      <c r="B643" s="146"/>
      <c r="C643" s="146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  <c r="R643" s="146"/>
      <c r="S643" s="146"/>
      <c r="T643" s="146"/>
      <c r="U643" s="146"/>
      <c r="V643" s="146"/>
      <c r="W643" s="146"/>
      <c r="X643" s="146"/>
      <c r="Y643" s="146"/>
      <c r="Z643" s="146"/>
      <c r="AA643" s="146"/>
    </row>
    <row r="644" spans="1:27" ht="15.75" customHeight="1" x14ac:dyDescent="0.25">
      <c r="A644" s="146"/>
      <c r="B644" s="146"/>
      <c r="C644" s="146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  <c r="R644" s="146"/>
      <c r="S644" s="146"/>
      <c r="T644" s="146"/>
      <c r="U644" s="146"/>
      <c r="V644" s="146"/>
      <c r="W644" s="146"/>
      <c r="X644" s="146"/>
      <c r="Y644" s="146"/>
      <c r="Z644" s="146"/>
      <c r="AA644" s="146"/>
    </row>
    <row r="645" spans="1:27" ht="15.75" customHeight="1" x14ac:dyDescent="0.25">
      <c r="A645" s="146"/>
      <c r="B645" s="146"/>
      <c r="C645" s="146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  <c r="R645" s="146"/>
      <c r="S645" s="146"/>
      <c r="T645" s="146"/>
      <c r="U645" s="146"/>
      <c r="V645" s="146"/>
      <c r="W645" s="146"/>
      <c r="X645" s="146"/>
      <c r="Y645" s="146"/>
      <c r="Z645" s="146"/>
      <c r="AA645" s="146"/>
    </row>
    <row r="646" spans="1:27" ht="15.75" customHeight="1" x14ac:dyDescent="0.25">
      <c r="A646" s="146"/>
      <c r="B646" s="146"/>
      <c r="C646" s="146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  <c r="R646" s="146"/>
      <c r="S646" s="146"/>
      <c r="T646" s="146"/>
      <c r="U646" s="146"/>
      <c r="V646" s="146"/>
      <c r="W646" s="146"/>
      <c r="X646" s="146"/>
      <c r="Y646" s="146"/>
      <c r="Z646" s="146"/>
      <c r="AA646" s="146"/>
    </row>
    <row r="647" spans="1:27" ht="15.75" customHeight="1" x14ac:dyDescent="0.25">
      <c r="A647" s="146"/>
      <c r="B647" s="146"/>
      <c r="C647" s="146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  <c r="R647" s="146"/>
      <c r="S647" s="146"/>
      <c r="T647" s="146"/>
      <c r="U647" s="146"/>
      <c r="V647" s="146"/>
      <c r="W647" s="146"/>
      <c r="X647" s="146"/>
      <c r="Y647" s="146"/>
      <c r="Z647" s="146"/>
      <c r="AA647" s="146"/>
    </row>
    <row r="648" spans="1:27" ht="15.75" customHeight="1" x14ac:dyDescent="0.25">
      <c r="A648" s="146"/>
      <c r="B648" s="146"/>
      <c r="C648" s="146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  <c r="R648" s="146"/>
      <c r="S648" s="146"/>
      <c r="T648" s="146"/>
      <c r="U648" s="146"/>
      <c r="V648" s="146"/>
      <c r="W648" s="146"/>
      <c r="X648" s="146"/>
      <c r="Y648" s="146"/>
      <c r="Z648" s="146"/>
      <c r="AA648" s="146"/>
    </row>
    <row r="649" spans="1:27" ht="15.75" customHeight="1" x14ac:dyDescent="0.25">
      <c r="A649" s="146"/>
      <c r="B649" s="146"/>
      <c r="C649" s="146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  <c r="R649" s="146"/>
      <c r="S649" s="146"/>
      <c r="T649" s="146"/>
      <c r="U649" s="146"/>
      <c r="V649" s="146"/>
      <c r="W649" s="146"/>
      <c r="X649" s="146"/>
      <c r="Y649" s="146"/>
      <c r="Z649" s="146"/>
      <c r="AA649" s="146"/>
    </row>
    <row r="650" spans="1:27" ht="15.75" customHeight="1" x14ac:dyDescent="0.25">
      <c r="A650" s="146"/>
      <c r="B650" s="146"/>
      <c r="C650" s="146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  <c r="R650" s="146"/>
      <c r="S650" s="146"/>
      <c r="T650" s="146"/>
      <c r="U650" s="146"/>
      <c r="V650" s="146"/>
      <c r="W650" s="146"/>
      <c r="X650" s="146"/>
      <c r="Y650" s="146"/>
      <c r="Z650" s="146"/>
      <c r="AA650" s="146"/>
    </row>
    <row r="651" spans="1:27" ht="15.75" customHeight="1" x14ac:dyDescent="0.25">
      <c r="A651" s="146"/>
      <c r="B651" s="146"/>
      <c r="C651" s="146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  <c r="R651" s="146"/>
      <c r="S651" s="146"/>
      <c r="T651" s="146"/>
      <c r="U651" s="146"/>
      <c r="V651" s="146"/>
      <c r="W651" s="146"/>
      <c r="X651" s="146"/>
      <c r="Y651" s="146"/>
      <c r="Z651" s="146"/>
      <c r="AA651" s="146"/>
    </row>
    <row r="652" spans="1:27" ht="15.75" customHeight="1" x14ac:dyDescent="0.25">
      <c r="A652" s="146"/>
      <c r="B652" s="146"/>
      <c r="C652" s="146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  <c r="R652" s="146"/>
      <c r="S652" s="146"/>
      <c r="T652" s="146"/>
      <c r="U652" s="146"/>
      <c r="V652" s="146"/>
      <c r="W652" s="146"/>
      <c r="X652" s="146"/>
      <c r="Y652" s="146"/>
      <c r="Z652" s="146"/>
      <c r="AA652" s="146"/>
    </row>
    <row r="653" spans="1:27" ht="15.75" customHeight="1" x14ac:dyDescent="0.25">
      <c r="A653" s="146"/>
      <c r="B653" s="146"/>
      <c r="C653" s="146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  <c r="R653" s="146"/>
      <c r="S653" s="146"/>
      <c r="T653" s="146"/>
      <c r="U653" s="146"/>
      <c r="V653" s="146"/>
      <c r="W653" s="146"/>
      <c r="X653" s="146"/>
      <c r="Y653" s="146"/>
      <c r="Z653" s="146"/>
      <c r="AA653" s="146"/>
    </row>
    <row r="654" spans="1:27" ht="15.75" customHeight="1" x14ac:dyDescent="0.25">
      <c r="A654" s="146"/>
      <c r="B654" s="146"/>
      <c r="C654" s="146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  <c r="R654" s="146"/>
      <c r="S654" s="146"/>
      <c r="T654" s="146"/>
      <c r="U654" s="146"/>
      <c r="V654" s="146"/>
      <c r="W654" s="146"/>
      <c r="X654" s="146"/>
      <c r="Y654" s="146"/>
      <c r="Z654" s="146"/>
      <c r="AA654" s="146"/>
    </row>
    <row r="655" spans="1:27" ht="15.75" customHeight="1" x14ac:dyDescent="0.25">
      <c r="A655" s="146"/>
      <c r="B655" s="146"/>
      <c r="C655" s="146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  <c r="R655" s="146"/>
      <c r="S655" s="146"/>
      <c r="T655" s="146"/>
      <c r="U655" s="146"/>
      <c r="V655" s="146"/>
      <c r="W655" s="146"/>
      <c r="X655" s="146"/>
      <c r="Y655" s="146"/>
      <c r="Z655" s="146"/>
      <c r="AA655" s="146"/>
    </row>
    <row r="656" spans="1:27" ht="15.75" customHeight="1" x14ac:dyDescent="0.25">
      <c r="A656" s="146"/>
      <c r="B656" s="146"/>
      <c r="C656" s="146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  <c r="R656" s="146"/>
      <c r="S656" s="146"/>
      <c r="T656" s="146"/>
      <c r="U656" s="146"/>
      <c r="V656" s="146"/>
      <c r="W656" s="146"/>
      <c r="X656" s="146"/>
      <c r="Y656" s="146"/>
      <c r="Z656" s="146"/>
      <c r="AA656" s="146"/>
    </row>
    <row r="657" spans="1:27" ht="15.75" customHeight="1" x14ac:dyDescent="0.25">
      <c r="A657" s="146"/>
      <c r="B657" s="146"/>
      <c r="C657" s="146"/>
      <c r="D657" s="146"/>
      <c r="E657" s="146"/>
      <c r="F657" s="146"/>
      <c r="G657" s="146"/>
      <c r="H657" s="146"/>
      <c r="I657" s="146"/>
      <c r="J657" s="146"/>
      <c r="K657" s="146"/>
      <c r="L657" s="146"/>
      <c r="M657" s="146"/>
      <c r="N657" s="146"/>
      <c r="O657" s="146"/>
      <c r="P657" s="146"/>
      <c r="Q657" s="146"/>
      <c r="R657" s="146"/>
      <c r="S657" s="146"/>
      <c r="T657" s="146"/>
      <c r="U657" s="146"/>
      <c r="V657" s="146"/>
      <c r="W657" s="146"/>
      <c r="X657" s="146"/>
      <c r="Y657" s="146"/>
      <c r="Z657" s="146"/>
      <c r="AA657" s="146"/>
    </row>
    <row r="658" spans="1:27" ht="15.75" customHeight="1" x14ac:dyDescent="0.25">
      <c r="A658" s="146"/>
      <c r="B658" s="146"/>
      <c r="C658" s="146"/>
      <c r="D658" s="146"/>
      <c r="E658" s="146"/>
      <c r="F658" s="146"/>
      <c r="G658" s="146"/>
      <c r="H658" s="146"/>
      <c r="I658" s="146"/>
      <c r="J658" s="146"/>
      <c r="K658" s="146"/>
      <c r="L658" s="146"/>
      <c r="M658" s="146"/>
      <c r="N658" s="146"/>
      <c r="O658" s="146"/>
      <c r="P658" s="146"/>
      <c r="Q658" s="146"/>
      <c r="R658" s="146"/>
      <c r="S658" s="146"/>
      <c r="T658" s="146"/>
      <c r="U658" s="146"/>
      <c r="V658" s="146"/>
      <c r="W658" s="146"/>
      <c r="X658" s="146"/>
      <c r="Y658" s="146"/>
      <c r="Z658" s="146"/>
      <c r="AA658" s="146"/>
    </row>
    <row r="659" spans="1:27" ht="15.75" customHeight="1" x14ac:dyDescent="0.25">
      <c r="A659" s="146"/>
      <c r="B659" s="146"/>
      <c r="C659" s="146"/>
      <c r="D659" s="146"/>
      <c r="E659" s="146"/>
      <c r="F659" s="146"/>
      <c r="G659" s="146"/>
      <c r="H659" s="146"/>
      <c r="I659" s="146"/>
      <c r="J659" s="146"/>
      <c r="K659" s="146"/>
      <c r="L659" s="146"/>
      <c r="M659" s="146"/>
      <c r="N659" s="146"/>
      <c r="O659" s="146"/>
      <c r="P659" s="146"/>
      <c r="Q659" s="146"/>
      <c r="R659" s="146"/>
      <c r="S659" s="146"/>
      <c r="T659" s="146"/>
      <c r="U659" s="146"/>
      <c r="V659" s="146"/>
      <c r="W659" s="146"/>
      <c r="X659" s="146"/>
      <c r="Y659" s="146"/>
      <c r="Z659" s="146"/>
      <c r="AA659" s="146"/>
    </row>
    <row r="660" spans="1:27" ht="15.75" customHeight="1" x14ac:dyDescent="0.25">
      <c r="A660" s="146"/>
      <c r="B660" s="146"/>
      <c r="C660" s="146"/>
      <c r="D660" s="146"/>
      <c r="E660" s="146"/>
      <c r="F660" s="146"/>
      <c r="G660" s="146"/>
      <c r="H660" s="146"/>
      <c r="I660" s="146"/>
      <c r="J660" s="146"/>
      <c r="K660" s="146"/>
      <c r="L660" s="146"/>
      <c r="M660" s="146"/>
      <c r="N660" s="146"/>
      <c r="O660" s="146"/>
      <c r="P660" s="146"/>
      <c r="Q660" s="146"/>
      <c r="R660" s="146"/>
      <c r="S660" s="146"/>
      <c r="T660" s="146"/>
      <c r="U660" s="146"/>
      <c r="V660" s="146"/>
      <c r="W660" s="146"/>
      <c r="X660" s="146"/>
      <c r="Y660" s="146"/>
      <c r="Z660" s="146"/>
      <c r="AA660" s="146"/>
    </row>
    <row r="661" spans="1:27" ht="15.75" customHeight="1" x14ac:dyDescent="0.25">
      <c r="A661" s="146"/>
      <c r="B661" s="146"/>
      <c r="C661" s="146"/>
      <c r="D661" s="146"/>
      <c r="E661" s="146"/>
      <c r="F661" s="146"/>
      <c r="G661" s="146"/>
      <c r="H661" s="146"/>
      <c r="I661" s="146"/>
      <c r="J661" s="146"/>
      <c r="K661" s="146"/>
      <c r="L661" s="146"/>
      <c r="M661" s="146"/>
      <c r="N661" s="146"/>
      <c r="O661" s="146"/>
      <c r="P661" s="146"/>
      <c r="Q661" s="146"/>
      <c r="R661" s="146"/>
      <c r="S661" s="146"/>
      <c r="T661" s="146"/>
      <c r="U661" s="146"/>
      <c r="V661" s="146"/>
      <c r="W661" s="146"/>
      <c r="X661" s="146"/>
      <c r="Y661" s="146"/>
      <c r="Z661" s="146"/>
      <c r="AA661" s="146"/>
    </row>
    <row r="662" spans="1:27" ht="15.75" customHeight="1" x14ac:dyDescent="0.25">
      <c r="A662" s="146"/>
      <c r="B662" s="146"/>
      <c r="C662" s="146"/>
      <c r="D662" s="146"/>
      <c r="E662" s="146"/>
      <c r="F662" s="146"/>
      <c r="G662" s="146"/>
      <c r="H662" s="146"/>
      <c r="I662" s="146"/>
      <c r="J662" s="146"/>
      <c r="K662" s="146"/>
      <c r="L662" s="146"/>
      <c r="M662" s="146"/>
      <c r="N662" s="146"/>
      <c r="O662" s="146"/>
      <c r="P662" s="146"/>
      <c r="Q662" s="146"/>
      <c r="R662" s="146"/>
      <c r="S662" s="146"/>
      <c r="T662" s="146"/>
      <c r="U662" s="146"/>
      <c r="V662" s="146"/>
      <c r="W662" s="146"/>
      <c r="X662" s="146"/>
      <c r="Y662" s="146"/>
      <c r="Z662" s="146"/>
      <c r="AA662" s="146"/>
    </row>
    <row r="663" spans="1:27" ht="15.75" customHeight="1" x14ac:dyDescent="0.25">
      <c r="A663" s="146"/>
      <c r="B663" s="146"/>
      <c r="C663" s="146"/>
      <c r="D663" s="146"/>
      <c r="E663" s="146"/>
      <c r="F663" s="146"/>
      <c r="G663" s="146"/>
      <c r="H663" s="146"/>
      <c r="I663" s="146"/>
      <c r="J663" s="146"/>
      <c r="K663" s="146"/>
      <c r="L663" s="146"/>
      <c r="M663" s="146"/>
      <c r="N663" s="146"/>
      <c r="O663" s="146"/>
      <c r="P663" s="146"/>
      <c r="Q663" s="146"/>
      <c r="R663" s="146"/>
      <c r="S663" s="146"/>
      <c r="T663" s="146"/>
      <c r="U663" s="146"/>
      <c r="V663" s="146"/>
      <c r="W663" s="146"/>
      <c r="X663" s="146"/>
      <c r="Y663" s="146"/>
      <c r="Z663" s="146"/>
      <c r="AA663" s="146"/>
    </row>
    <row r="664" spans="1:27" ht="15.75" customHeight="1" x14ac:dyDescent="0.25">
      <c r="A664" s="146"/>
      <c r="B664" s="146"/>
      <c r="C664" s="146"/>
      <c r="D664" s="146"/>
      <c r="E664" s="146"/>
      <c r="F664" s="146"/>
      <c r="G664" s="146"/>
      <c r="H664" s="146"/>
      <c r="I664" s="146"/>
      <c r="J664" s="146"/>
      <c r="K664" s="146"/>
      <c r="L664" s="146"/>
      <c r="M664" s="146"/>
      <c r="N664" s="146"/>
      <c r="O664" s="146"/>
      <c r="P664" s="146"/>
      <c r="Q664" s="146"/>
      <c r="R664" s="146"/>
      <c r="S664" s="146"/>
      <c r="T664" s="146"/>
      <c r="U664" s="146"/>
      <c r="V664" s="146"/>
      <c r="W664" s="146"/>
      <c r="X664" s="146"/>
      <c r="Y664" s="146"/>
      <c r="Z664" s="146"/>
      <c r="AA664" s="146"/>
    </row>
    <row r="665" spans="1:27" ht="15.75" customHeight="1" x14ac:dyDescent="0.25">
      <c r="A665" s="146"/>
      <c r="B665" s="146"/>
      <c r="C665" s="146"/>
      <c r="D665" s="146"/>
      <c r="E665" s="146"/>
      <c r="F665" s="146"/>
      <c r="G665" s="146"/>
      <c r="H665" s="146"/>
      <c r="I665" s="146"/>
      <c r="J665" s="146"/>
      <c r="K665" s="146"/>
      <c r="L665" s="146"/>
      <c r="M665" s="146"/>
      <c r="N665" s="146"/>
      <c r="O665" s="146"/>
      <c r="P665" s="146"/>
      <c r="Q665" s="146"/>
      <c r="R665" s="146"/>
      <c r="S665" s="146"/>
      <c r="T665" s="146"/>
      <c r="U665" s="146"/>
      <c r="V665" s="146"/>
      <c r="W665" s="146"/>
      <c r="X665" s="146"/>
      <c r="Y665" s="146"/>
      <c r="Z665" s="146"/>
      <c r="AA665" s="146"/>
    </row>
    <row r="666" spans="1:27" ht="15.75" customHeight="1" x14ac:dyDescent="0.25">
      <c r="A666" s="146"/>
      <c r="B666" s="146"/>
      <c r="C666" s="146"/>
      <c r="D666" s="146"/>
      <c r="E666" s="146"/>
      <c r="F666" s="146"/>
      <c r="G666" s="146"/>
      <c r="H666" s="146"/>
      <c r="I666" s="146"/>
      <c r="J666" s="146"/>
      <c r="K666" s="146"/>
      <c r="L666" s="146"/>
      <c r="M666" s="146"/>
      <c r="N666" s="146"/>
      <c r="O666" s="146"/>
      <c r="P666" s="146"/>
      <c r="Q666" s="146"/>
      <c r="R666" s="146"/>
      <c r="S666" s="146"/>
      <c r="T666" s="146"/>
      <c r="U666" s="146"/>
      <c r="V666" s="146"/>
      <c r="W666" s="146"/>
      <c r="X666" s="146"/>
      <c r="Y666" s="146"/>
      <c r="Z666" s="146"/>
      <c r="AA666" s="146"/>
    </row>
    <row r="667" spans="1:27" ht="15.75" customHeight="1" x14ac:dyDescent="0.25">
      <c r="A667" s="146"/>
      <c r="B667" s="146"/>
      <c r="C667" s="146"/>
      <c r="D667" s="146"/>
      <c r="E667" s="146"/>
      <c r="F667" s="146"/>
      <c r="G667" s="146"/>
      <c r="H667" s="146"/>
      <c r="I667" s="146"/>
      <c r="J667" s="146"/>
      <c r="K667" s="146"/>
      <c r="L667" s="146"/>
      <c r="M667" s="146"/>
      <c r="N667" s="146"/>
      <c r="O667" s="146"/>
      <c r="P667" s="146"/>
      <c r="Q667" s="146"/>
      <c r="R667" s="146"/>
      <c r="S667" s="146"/>
      <c r="T667" s="146"/>
      <c r="U667" s="146"/>
      <c r="V667" s="146"/>
      <c r="W667" s="146"/>
      <c r="X667" s="146"/>
      <c r="Y667" s="146"/>
      <c r="Z667" s="146"/>
      <c r="AA667" s="146"/>
    </row>
    <row r="668" spans="1:27" ht="15.75" customHeight="1" x14ac:dyDescent="0.25">
      <c r="A668" s="146"/>
      <c r="B668" s="146"/>
      <c r="C668" s="146"/>
      <c r="D668" s="146"/>
      <c r="E668" s="146"/>
      <c r="F668" s="146"/>
      <c r="G668" s="146"/>
      <c r="H668" s="146"/>
      <c r="I668" s="146"/>
      <c r="J668" s="146"/>
      <c r="K668" s="146"/>
      <c r="L668" s="146"/>
      <c r="M668" s="146"/>
      <c r="N668" s="146"/>
      <c r="O668" s="146"/>
      <c r="P668" s="146"/>
      <c r="Q668" s="146"/>
      <c r="R668" s="146"/>
      <c r="S668" s="146"/>
      <c r="T668" s="146"/>
      <c r="U668" s="146"/>
      <c r="V668" s="146"/>
      <c r="W668" s="146"/>
      <c r="X668" s="146"/>
      <c r="Y668" s="146"/>
      <c r="Z668" s="146"/>
      <c r="AA668" s="146"/>
    </row>
    <row r="669" spans="1:27" ht="15.75" customHeight="1" x14ac:dyDescent="0.25">
      <c r="A669" s="146"/>
      <c r="B669" s="146"/>
      <c r="C669" s="146"/>
      <c r="D669" s="146"/>
      <c r="E669" s="146"/>
      <c r="F669" s="146"/>
      <c r="G669" s="146"/>
      <c r="H669" s="146"/>
      <c r="I669" s="146"/>
      <c r="J669" s="146"/>
      <c r="K669" s="146"/>
      <c r="L669" s="146"/>
      <c r="M669" s="146"/>
      <c r="N669" s="146"/>
      <c r="O669" s="146"/>
      <c r="P669" s="146"/>
      <c r="Q669" s="146"/>
      <c r="R669" s="146"/>
      <c r="S669" s="146"/>
      <c r="T669" s="146"/>
      <c r="U669" s="146"/>
      <c r="V669" s="146"/>
      <c r="W669" s="146"/>
      <c r="X669" s="146"/>
      <c r="Y669" s="146"/>
      <c r="Z669" s="146"/>
      <c r="AA669" s="146"/>
    </row>
    <row r="670" spans="1:27" ht="15.75" customHeight="1" x14ac:dyDescent="0.25">
      <c r="A670" s="146"/>
      <c r="B670" s="146"/>
      <c r="C670" s="146"/>
      <c r="D670" s="146"/>
      <c r="E670" s="146"/>
      <c r="F670" s="146"/>
      <c r="G670" s="146"/>
      <c r="H670" s="146"/>
      <c r="I670" s="146"/>
      <c r="J670" s="146"/>
      <c r="K670" s="146"/>
      <c r="L670" s="146"/>
      <c r="M670" s="146"/>
      <c r="N670" s="146"/>
      <c r="O670" s="146"/>
      <c r="P670" s="146"/>
      <c r="Q670" s="146"/>
      <c r="R670" s="146"/>
      <c r="S670" s="146"/>
      <c r="T670" s="146"/>
      <c r="U670" s="146"/>
      <c r="V670" s="146"/>
      <c r="W670" s="146"/>
      <c r="X670" s="146"/>
      <c r="Y670" s="146"/>
      <c r="Z670" s="146"/>
      <c r="AA670" s="146"/>
    </row>
    <row r="671" spans="1:27" ht="15.75" customHeight="1" x14ac:dyDescent="0.25">
      <c r="A671" s="146"/>
      <c r="B671" s="146"/>
      <c r="C671" s="146"/>
      <c r="D671" s="146"/>
      <c r="E671" s="146"/>
      <c r="F671" s="146"/>
      <c r="G671" s="146"/>
      <c r="H671" s="146"/>
      <c r="I671" s="146"/>
      <c r="J671" s="146"/>
      <c r="K671" s="146"/>
      <c r="L671" s="146"/>
      <c r="M671" s="146"/>
      <c r="N671" s="146"/>
      <c r="O671" s="146"/>
      <c r="P671" s="146"/>
      <c r="Q671" s="146"/>
      <c r="R671" s="146"/>
      <c r="S671" s="146"/>
      <c r="T671" s="146"/>
      <c r="U671" s="146"/>
      <c r="V671" s="146"/>
      <c r="W671" s="146"/>
      <c r="X671" s="146"/>
      <c r="Y671" s="146"/>
      <c r="Z671" s="146"/>
      <c r="AA671" s="146"/>
    </row>
    <row r="672" spans="1:27" ht="15.75" customHeight="1" x14ac:dyDescent="0.25">
      <c r="A672" s="146"/>
      <c r="B672" s="146"/>
      <c r="C672" s="146"/>
      <c r="D672" s="146"/>
      <c r="E672" s="146"/>
      <c r="F672" s="146"/>
      <c r="G672" s="146"/>
      <c r="H672" s="146"/>
      <c r="I672" s="146"/>
      <c r="J672" s="146"/>
      <c r="K672" s="146"/>
      <c r="L672" s="146"/>
      <c r="M672" s="146"/>
      <c r="N672" s="146"/>
      <c r="O672" s="146"/>
      <c r="P672" s="146"/>
      <c r="Q672" s="146"/>
      <c r="R672" s="146"/>
      <c r="S672" s="146"/>
      <c r="T672" s="146"/>
      <c r="U672" s="146"/>
      <c r="V672" s="146"/>
      <c r="W672" s="146"/>
      <c r="X672" s="146"/>
      <c r="Y672" s="146"/>
      <c r="Z672" s="146"/>
      <c r="AA672" s="146"/>
    </row>
    <row r="673" spans="1:27" ht="15.75" customHeight="1" x14ac:dyDescent="0.25">
      <c r="A673" s="146"/>
      <c r="B673" s="146"/>
      <c r="C673" s="146"/>
      <c r="D673" s="146"/>
      <c r="E673" s="146"/>
      <c r="F673" s="146"/>
      <c r="G673" s="146"/>
      <c r="H673" s="146"/>
      <c r="I673" s="146"/>
      <c r="J673" s="146"/>
      <c r="K673" s="146"/>
      <c r="L673" s="146"/>
      <c r="M673" s="146"/>
      <c r="N673" s="146"/>
      <c r="O673" s="146"/>
      <c r="P673" s="146"/>
      <c r="Q673" s="146"/>
      <c r="R673" s="146"/>
      <c r="S673" s="146"/>
      <c r="T673" s="146"/>
      <c r="U673" s="146"/>
      <c r="V673" s="146"/>
      <c r="W673" s="146"/>
      <c r="X673" s="146"/>
      <c r="Y673" s="146"/>
      <c r="Z673" s="146"/>
      <c r="AA673" s="146"/>
    </row>
    <row r="674" spans="1:27" ht="15.75" customHeight="1" x14ac:dyDescent="0.25">
      <c r="A674" s="146"/>
      <c r="B674" s="146"/>
      <c r="C674" s="146"/>
      <c r="D674" s="146"/>
      <c r="E674" s="146"/>
      <c r="F674" s="146"/>
      <c r="G674" s="146"/>
      <c r="H674" s="146"/>
      <c r="I674" s="146"/>
      <c r="J674" s="146"/>
      <c r="K674" s="146"/>
      <c r="L674" s="146"/>
      <c r="M674" s="146"/>
      <c r="N674" s="146"/>
      <c r="O674" s="146"/>
      <c r="P674" s="146"/>
      <c r="Q674" s="146"/>
      <c r="R674" s="146"/>
      <c r="S674" s="146"/>
      <c r="T674" s="146"/>
      <c r="U674" s="146"/>
      <c r="V674" s="146"/>
      <c r="W674" s="146"/>
      <c r="X674" s="146"/>
      <c r="Y674" s="146"/>
      <c r="Z674" s="146"/>
      <c r="AA674" s="146"/>
    </row>
    <row r="675" spans="1:27" ht="15.75" customHeight="1" x14ac:dyDescent="0.25">
      <c r="A675" s="146"/>
      <c r="B675" s="146"/>
      <c r="C675" s="146"/>
      <c r="D675" s="146"/>
      <c r="E675" s="146"/>
      <c r="F675" s="146"/>
      <c r="G675" s="146"/>
      <c r="H675" s="146"/>
      <c r="I675" s="146"/>
      <c r="J675" s="146"/>
      <c r="K675" s="146"/>
      <c r="L675" s="146"/>
      <c r="M675" s="146"/>
      <c r="N675" s="146"/>
      <c r="O675" s="146"/>
      <c r="P675" s="146"/>
      <c r="Q675" s="146"/>
      <c r="R675" s="146"/>
      <c r="S675" s="146"/>
      <c r="T675" s="146"/>
      <c r="U675" s="146"/>
      <c r="V675" s="146"/>
      <c r="W675" s="146"/>
      <c r="X675" s="146"/>
      <c r="Y675" s="146"/>
      <c r="Z675" s="146"/>
      <c r="AA675" s="146"/>
    </row>
    <row r="676" spans="1:27" ht="15.75" customHeight="1" x14ac:dyDescent="0.25">
      <c r="A676" s="146"/>
      <c r="B676" s="146"/>
      <c r="C676" s="146"/>
      <c r="D676" s="146"/>
      <c r="E676" s="146"/>
      <c r="F676" s="146"/>
      <c r="G676" s="146"/>
      <c r="H676" s="146"/>
      <c r="I676" s="146"/>
      <c r="J676" s="146"/>
      <c r="K676" s="146"/>
      <c r="L676" s="146"/>
      <c r="M676" s="146"/>
      <c r="N676" s="146"/>
      <c r="O676" s="146"/>
      <c r="P676" s="146"/>
      <c r="Q676" s="146"/>
      <c r="R676" s="146"/>
      <c r="S676" s="146"/>
      <c r="T676" s="146"/>
      <c r="U676" s="146"/>
      <c r="V676" s="146"/>
      <c r="W676" s="146"/>
      <c r="X676" s="146"/>
      <c r="Y676" s="146"/>
      <c r="Z676" s="146"/>
      <c r="AA676" s="146"/>
    </row>
    <row r="677" spans="1:27" ht="15.75" customHeight="1" x14ac:dyDescent="0.25">
      <c r="A677" s="146"/>
      <c r="B677" s="146"/>
      <c r="C677" s="146"/>
      <c r="D677" s="146"/>
      <c r="E677" s="146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46"/>
      <c r="R677" s="146"/>
      <c r="S677" s="146"/>
      <c r="T677" s="146"/>
      <c r="U677" s="146"/>
      <c r="V677" s="146"/>
      <c r="W677" s="146"/>
      <c r="X677" s="146"/>
      <c r="Y677" s="146"/>
      <c r="Z677" s="146"/>
      <c r="AA677" s="146"/>
    </row>
    <row r="678" spans="1:27" ht="15.75" customHeight="1" x14ac:dyDescent="0.25">
      <c r="A678" s="146"/>
      <c r="B678" s="146"/>
      <c r="C678" s="146"/>
      <c r="D678" s="146"/>
      <c r="E678" s="146"/>
      <c r="F678" s="146"/>
      <c r="G678" s="146"/>
      <c r="H678" s="146"/>
      <c r="I678" s="146"/>
      <c r="J678" s="146"/>
      <c r="K678" s="146"/>
      <c r="L678" s="146"/>
      <c r="M678" s="146"/>
      <c r="N678" s="146"/>
      <c r="O678" s="146"/>
      <c r="P678" s="146"/>
      <c r="Q678" s="146"/>
      <c r="R678" s="146"/>
      <c r="S678" s="146"/>
      <c r="T678" s="146"/>
      <c r="U678" s="146"/>
      <c r="V678" s="146"/>
      <c r="W678" s="146"/>
      <c r="X678" s="146"/>
      <c r="Y678" s="146"/>
      <c r="Z678" s="146"/>
      <c r="AA678" s="146"/>
    </row>
    <row r="679" spans="1:27" ht="15.75" customHeight="1" x14ac:dyDescent="0.25">
      <c r="A679" s="146"/>
      <c r="B679" s="146"/>
      <c r="C679" s="146"/>
      <c r="D679" s="146"/>
      <c r="E679" s="146"/>
      <c r="F679" s="146"/>
      <c r="G679" s="146"/>
      <c r="H679" s="146"/>
      <c r="I679" s="146"/>
      <c r="J679" s="146"/>
      <c r="K679" s="146"/>
      <c r="L679" s="146"/>
      <c r="M679" s="146"/>
      <c r="N679" s="146"/>
      <c r="O679" s="146"/>
      <c r="P679" s="146"/>
      <c r="Q679" s="146"/>
      <c r="R679" s="146"/>
      <c r="S679" s="146"/>
      <c r="T679" s="146"/>
      <c r="U679" s="146"/>
      <c r="V679" s="146"/>
      <c r="W679" s="146"/>
      <c r="X679" s="146"/>
      <c r="Y679" s="146"/>
      <c r="Z679" s="146"/>
      <c r="AA679" s="146"/>
    </row>
    <row r="680" spans="1:27" ht="15.75" customHeight="1" x14ac:dyDescent="0.25">
      <c r="A680" s="146"/>
      <c r="B680" s="146"/>
      <c r="C680" s="146"/>
      <c r="D680" s="146"/>
      <c r="E680" s="146"/>
      <c r="F680" s="146"/>
      <c r="G680" s="146"/>
      <c r="H680" s="146"/>
      <c r="I680" s="146"/>
      <c r="J680" s="146"/>
      <c r="K680" s="146"/>
      <c r="L680" s="146"/>
      <c r="M680" s="146"/>
      <c r="N680" s="146"/>
      <c r="O680" s="146"/>
      <c r="P680" s="146"/>
      <c r="Q680" s="146"/>
      <c r="R680" s="146"/>
      <c r="S680" s="146"/>
      <c r="T680" s="146"/>
      <c r="U680" s="146"/>
      <c r="V680" s="146"/>
      <c r="W680" s="146"/>
      <c r="X680" s="146"/>
      <c r="Y680" s="146"/>
      <c r="Z680" s="146"/>
      <c r="AA680" s="146"/>
    </row>
    <row r="681" spans="1:27" ht="15.75" customHeight="1" x14ac:dyDescent="0.25">
      <c r="A681" s="146"/>
      <c r="B681" s="146"/>
      <c r="C681" s="146"/>
      <c r="D681" s="146"/>
      <c r="E681" s="146"/>
      <c r="F681" s="146"/>
      <c r="G681" s="146"/>
      <c r="H681" s="146"/>
      <c r="I681" s="146"/>
      <c r="J681" s="146"/>
      <c r="K681" s="146"/>
      <c r="L681" s="146"/>
      <c r="M681" s="146"/>
      <c r="N681" s="146"/>
      <c r="O681" s="146"/>
      <c r="P681" s="146"/>
      <c r="Q681" s="146"/>
      <c r="R681" s="146"/>
      <c r="S681" s="146"/>
      <c r="T681" s="146"/>
      <c r="U681" s="146"/>
      <c r="V681" s="146"/>
      <c r="W681" s="146"/>
      <c r="X681" s="146"/>
      <c r="Y681" s="146"/>
      <c r="Z681" s="146"/>
      <c r="AA681" s="146"/>
    </row>
    <row r="682" spans="1:27" ht="15.75" customHeight="1" x14ac:dyDescent="0.25">
      <c r="A682" s="146"/>
      <c r="B682" s="146"/>
      <c r="C682" s="146"/>
      <c r="D682" s="146"/>
      <c r="E682" s="146"/>
      <c r="F682" s="146"/>
      <c r="G682" s="146"/>
      <c r="H682" s="146"/>
      <c r="I682" s="146"/>
      <c r="J682" s="146"/>
      <c r="K682" s="146"/>
      <c r="L682" s="146"/>
      <c r="M682" s="146"/>
      <c r="N682" s="146"/>
      <c r="O682" s="146"/>
      <c r="P682" s="146"/>
      <c r="Q682" s="146"/>
      <c r="R682" s="146"/>
      <c r="S682" s="146"/>
      <c r="T682" s="146"/>
      <c r="U682" s="146"/>
      <c r="V682" s="146"/>
      <c r="W682" s="146"/>
      <c r="X682" s="146"/>
      <c r="Y682" s="146"/>
      <c r="Z682" s="146"/>
      <c r="AA682" s="146"/>
    </row>
    <row r="683" spans="1:27" ht="15.75" customHeight="1" x14ac:dyDescent="0.25">
      <c r="A683" s="146"/>
      <c r="B683" s="146"/>
      <c r="C683" s="146"/>
      <c r="D683" s="146"/>
      <c r="E683" s="146"/>
      <c r="F683" s="146"/>
      <c r="G683" s="146"/>
      <c r="H683" s="146"/>
      <c r="I683" s="146"/>
      <c r="J683" s="146"/>
      <c r="K683" s="146"/>
      <c r="L683" s="146"/>
      <c r="M683" s="146"/>
      <c r="N683" s="146"/>
      <c r="O683" s="146"/>
      <c r="P683" s="146"/>
      <c r="Q683" s="146"/>
      <c r="R683" s="146"/>
      <c r="S683" s="146"/>
      <c r="T683" s="146"/>
      <c r="U683" s="146"/>
      <c r="V683" s="146"/>
      <c r="W683" s="146"/>
      <c r="X683" s="146"/>
      <c r="Y683" s="146"/>
      <c r="Z683" s="146"/>
      <c r="AA683" s="146"/>
    </row>
    <row r="684" spans="1:27" ht="15.75" customHeight="1" x14ac:dyDescent="0.25">
      <c r="A684" s="146"/>
      <c r="B684" s="146"/>
      <c r="C684" s="146"/>
      <c r="D684" s="146"/>
      <c r="E684" s="146"/>
      <c r="F684" s="146"/>
      <c r="G684" s="146"/>
      <c r="H684" s="146"/>
      <c r="I684" s="146"/>
      <c r="J684" s="146"/>
      <c r="K684" s="146"/>
      <c r="L684" s="146"/>
      <c r="M684" s="146"/>
      <c r="N684" s="146"/>
      <c r="O684" s="146"/>
      <c r="P684" s="146"/>
      <c r="Q684" s="146"/>
      <c r="R684" s="146"/>
      <c r="S684" s="146"/>
      <c r="T684" s="146"/>
      <c r="U684" s="146"/>
      <c r="V684" s="146"/>
      <c r="W684" s="146"/>
      <c r="X684" s="146"/>
      <c r="Y684" s="146"/>
      <c r="Z684" s="146"/>
      <c r="AA684" s="146"/>
    </row>
    <row r="685" spans="1:27" ht="15.75" customHeight="1" x14ac:dyDescent="0.25">
      <c r="A685" s="146"/>
      <c r="B685" s="146"/>
      <c r="C685" s="146"/>
      <c r="D685" s="146"/>
      <c r="E685" s="146"/>
      <c r="F685" s="146"/>
      <c r="G685" s="146"/>
      <c r="H685" s="146"/>
      <c r="I685" s="146"/>
      <c r="J685" s="146"/>
      <c r="K685" s="146"/>
      <c r="L685" s="146"/>
      <c r="M685" s="146"/>
      <c r="N685" s="146"/>
      <c r="O685" s="146"/>
      <c r="P685" s="146"/>
      <c r="Q685" s="146"/>
      <c r="R685" s="146"/>
      <c r="S685" s="146"/>
      <c r="T685" s="146"/>
      <c r="U685" s="146"/>
      <c r="V685" s="146"/>
      <c r="W685" s="146"/>
      <c r="X685" s="146"/>
      <c r="Y685" s="146"/>
      <c r="Z685" s="146"/>
      <c r="AA685" s="146"/>
    </row>
    <row r="686" spans="1:27" ht="15.75" customHeight="1" x14ac:dyDescent="0.25">
      <c r="A686" s="146"/>
      <c r="B686" s="146"/>
      <c r="C686" s="146"/>
      <c r="D686" s="146"/>
      <c r="E686" s="146"/>
      <c r="F686" s="146"/>
      <c r="G686" s="146"/>
      <c r="H686" s="146"/>
      <c r="I686" s="146"/>
      <c r="J686" s="146"/>
      <c r="K686" s="146"/>
      <c r="L686" s="146"/>
      <c r="M686" s="146"/>
      <c r="N686" s="146"/>
      <c r="O686" s="146"/>
      <c r="P686" s="146"/>
      <c r="Q686" s="146"/>
      <c r="R686" s="146"/>
      <c r="S686" s="146"/>
      <c r="T686" s="146"/>
      <c r="U686" s="146"/>
      <c r="V686" s="146"/>
      <c r="W686" s="146"/>
      <c r="X686" s="146"/>
      <c r="Y686" s="146"/>
      <c r="Z686" s="146"/>
      <c r="AA686" s="146"/>
    </row>
    <row r="687" spans="1:27" ht="15.75" customHeight="1" x14ac:dyDescent="0.25">
      <c r="A687" s="146"/>
      <c r="B687" s="146"/>
      <c r="C687" s="146"/>
      <c r="D687" s="146"/>
      <c r="E687" s="146"/>
      <c r="F687" s="146"/>
      <c r="G687" s="146"/>
      <c r="H687" s="146"/>
      <c r="I687" s="146"/>
      <c r="J687" s="146"/>
      <c r="K687" s="146"/>
      <c r="L687" s="146"/>
      <c r="M687" s="146"/>
      <c r="N687" s="146"/>
      <c r="O687" s="146"/>
      <c r="P687" s="146"/>
      <c r="Q687" s="146"/>
      <c r="R687" s="146"/>
      <c r="S687" s="146"/>
      <c r="T687" s="146"/>
      <c r="U687" s="146"/>
      <c r="V687" s="146"/>
      <c r="W687" s="146"/>
      <c r="X687" s="146"/>
      <c r="Y687" s="146"/>
      <c r="Z687" s="146"/>
      <c r="AA687" s="146"/>
    </row>
    <row r="688" spans="1:27" ht="15.75" customHeight="1" x14ac:dyDescent="0.25">
      <c r="A688" s="146"/>
      <c r="B688" s="146"/>
      <c r="C688" s="146"/>
      <c r="D688" s="146"/>
      <c r="E688" s="146"/>
      <c r="F688" s="146"/>
      <c r="G688" s="146"/>
      <c r="H688" s="146"/>
      <c r="I688" s="146"/>
      <c r="J688" s="146"/>
      <c r="K688" s="146"/>
      <c r="L688" s="146"/>
      <c r="M688" s="146"/>
      <c r="N688" s="146"/>
      <c r="O688" s="146"/>
      <c r="P688" s="146"/>
      <c r="Q688" s="146"/>
      <c r="R688" s="146"/>
      <c r="S688" s="146"/>
      <c r="T688" s="146"/>
      <c r="U688" s="146"/>
      <c r="V688" s="146"/>
      <c r="W688" s="146"/>
      <c r="X688" s="146"/>
      <c r="Y688" s="146"/>
      <c r="Z688" s="146"/>
      <c r="AA688" s="146"/>
    </row>
    <row r="689" spans="1:27" ht="15.75" customHeight="1" x14ac:dyDescent="0.25">
      <c r="A689" s="146"/>
      <c r="B689" s="146"/>
      <c r="C689" s="146"/>
      <c r="D689" s="146"/>
      <c r="E689" s="146"/>
      <c r="F689" s="146"/>
      <c r="G689" s="146"/>
      <c r="H689" s="146"/>
      <c r="I689" s="146"/>
      <c r="J689" s="146"/>
      <c r="K689" s="146"/>
      <c r="L689" s="146"/>
      <c r="M689" s="146"/>
      <c r="N689" s="146"/>
      <c r="O689" s="146"/>
      <c r="P689" s="146"/>
      <c r="Q689" s="146"/>
      <c r="R689" s="146"/>
      <c r="S689" s="146"/>
      <c r="T689" s="146"/>
      <c r="U689" s="146"/>
      <c r="V689" s="146"/>
      <c r="W689" s="146"/>
      <c r="X689" s="146"/>
      <c r="Y689" s="146"/>
      <c r="Z689" s="146"/>
      <c r="AA689" s="146"/>
    </row>
    <row r="690" spans="1:27" ht="15.75" customHeight="1" x14ac:dyDescent="0.25">
      <c r="A690" s="146"/>
      <c r="B690" s="146"/>
      <c r="C690" s="146"/>
      <c r="D690" s="146"/>
      <c r="E690" s="146"/>
      <c r="F690" s="146"/>
      <c r="G690" s="146"/>
      <c r="H690" s="146"/>
      <c r="I690" s="146"/>
      <c r="J690" s="146"/>
      <c r="K690" s="146"/>
      <c r="L690" s="146"/>
      <c r="M690" s="146"/>
      <c r="N690" s="146"/>
      <c r="O690" s="146"/>
      <c r="P690" s="146"/>
      <c r="Q690" s="146"/>
      <c r="R690" s="146"/>
      <c r="S690" s="146"/>
      <c r="T690" s="146"/>
      <c r="U690" s="146"/>
      <c r="V690" s="146"/>
      <c r="W690" s="146"/>
      <c r="X690" s="146"/>
      <c r="Y690" s="146"/>
      <c r="Z690" s="146"/>
      <c r="AA690" s="146"/>
    </row>
    <row r="691" spans="1:27" ht="15.75" customHeight="1" x14ac:dyDescent="0.25">
      <c r="A691" s="146"/>
      <c r="B691" s="146"/>
      <c r="C691" s="146"/>
      <c r="D691" s="146"/>
      <c r="E691" s="146"/>
      <c r="F691" s="146"/>
      <c r="G691" s="146"/>
      <c r="H691" s="146"/>
      <c r="I691" s="146"/>
      <c r="J691" s="146"/>
      <c r="K691" s="146"/>
      <c r="L691" s="146"/>
      <c r="M691" s="146"/>
      <c r="N691" s="146"/>
      <c r="O691" s="146"/>
      <c r="P691" s="146"/>
      <c r="Q691" s="146"/>
      <c r="R691" s="146"/>
      <c r="S691" s="146"/>
      <c r="T691" s="146"/>
      <c r="U691" s="146"/>
      <c r="V691" s="146"/>
      <c r="W691" s="146"/>
      <c r="X691" s="146"/>
      <c r="Y691" s="146"/>
      <c r="Z691" s="146"/>
      <c r="AA691" s="146"/>
    </row>
    <row r="692" spans="1:27" ht="15.75" customHeight="1" x14ac:dyDescent="0.25">
      <c r="A692" s="146"/>
      <c r="B692" s="146"/>
      <c r="C692" s="146"/>
      <c r="D692" s="146"/>
      <c r="E692" s="146"/>
      <c r="F692" s="146"/>
      <c r="G692" s="146"/>
      <c r="H692" s="146"/>
      <c r="I692" s="146"/>
      <c r="J692" s="146"/>
      <c r="K692" s="146"/>
      <c r="L692" s="146"/>
      <c r="M692" s="146"/>
      <c r="N692" s="146"/>
      <c r="O692" s="146"/>
      <c r="P692" s="146"/>
      <c r="Q692" s="146"/>
      <c r="R692" s="146"/>
      <c r="S692" s="146"/>
      <c r="T692" s="146"/>
      <c r="U692" s="146"/>
      <c r="V692" s="146"/>
      <c r="W692" s="146"/>
      <c r="X692" s="146"/>
      <c r="Y692" s="146"/>
      <c r="Z692" s="146"/>
      <c r="AA692" s="146"/>
    </row>
    <row r="693" spans="1:27" ht="15.75" customHeight="1" x14ac:dyDescent="0.25">
      <c r="A693" s="146"/>
      <c r="B693" s="146"/>
      <c r="C693" s="146"/>
      <c r="D693" s="146"/>
      <c r="E693" s="146"/>
      <c r="F693" s="146"/>
      <c r="G693" s="146"/>
      <c r="H693" s="146"/>
      <c r="I693" s="146"/>
      <c r="J693" s="146"/>
      <c r="K693" s="146"/>
      <c r="L693" s="146"/>
      <c r="M693" s="146"/>
      <c r="N693" s="146"/>
      <c r="O693" s="146"/>
      <c r="P693" s="146"/>
      <c r="Q693" s="146"/>
      <c r="R693" s="146"/>
      <c r="S693" s="146"/>
      <c r="T693" s="146"/>
      <c r="U693" s="146"/>
      <c r="V693" s="146"/>
      <c r="W693" s="146"/>
      <c r="X693" s="146"/>
      <c r="Y693" s="146"/>
      <c r="Z693" s="146"/>
      <c r="AA693" s="146"/>
    </row>
    <row r="694" spans="1:27" ht="15.75" customHeight="1" x14ac:dyDescent="0.25">
      <c r="A694" s="146"/>
      <c r="B694" s="146"/>
      <c r="C694" s="146"/>
      <c r="D694" s="146"/>
      <c r="E694" s="146"/>
      <c r="F694" s="146"/>
      <c r="G694" s="146"/>
      <c r="H694" s="146"/>
      <c r="I694" s="146"/>
      <c r="J694" s="146"/>
      <c r="K694" s="146"/>
      <c r="L694" s="146"/>
      <c r="M694" s="146"/>
      <c r="N694" s="146"/>
      <c r="O694" s="146"/>
      <c r="P694" s="146"/>
      <c r="Q694" s="146"/>
      <c r="R694" s="146"/>
      <c r="S694" s="146"/>
      <c r="T694" s="146"/>
      <c r="U694" s="146"/>
      <c r="V694" s="146"/>
      <c r="W694" s="146"/>
      <c r="X694" s="146"/>
      <c r="Y694" s="146"/>
      <c r="Z694" s="146"/>
      <c r="AA694" s="146"/>
    </row>
    <row r="695" spans="1:27" ht="15.75" customHeight="1" x14ac:dyDescent="0.25">
      <c r="A695" s="146"/>
      <c r="B695" s="146"/>
      <c r="C695" s="146"/>
      <c r="D695" s="146"/>
      <c r="E695" s="146"/>
      <c r="F695" s="146"/>
      <c r="G695" s="146"/>
      <c r="H695" s="146"/>
      <c r="I695" s="146"/>
      <c r="J695" s="146"/>
      <c r="K695" s="146"/>
      <c r="L695" s="146"/>
      <c r="M695" s="146"/>
      <c r="N695" s="146"/>
      <c r="O695" s="146"/>
      <c r="P695" s="146"/>
      <c r="Q695" s="146"/>
      <c r="R695" s="146"/>
      <c r="S695" s="146"/>
      <c r="T695" s="146"/>
      <c r="U695" s="146"/>
      <c r="V695" s="146"/>
      <c r="W695" s="146"/>
      <c r="X695" s="146"/>
      <c r="Y695" s="146"/>
      <c r="Z695" s="146"/>
      <c r="AA695" s="146"/>
    </row>
    <row r="696" spans="1:27" ht="15.75" customHeight="1" x14ac:dyDescent="0.25">
      <c r="A696" s="146"/>
      <c r="B696" s="146"/>
      <c r="C696" s="146"/>
      <c r="D696" s="146"/>
      <c r="E696" s="146"/>
      <c r="F696" s="146"/>
      <c r="G696" s="146"/>
      <c r="H696" s="146"/>
      <c r="I696" s="146"/>
      <c r="J696" s="146"/>
      <c r="K696" s="146"/>
      <c r="L696" s="146"/>
      <c r="M696" s="146"/>
      <c r="N696" s="146"/>
      <c r="O696" s="146"/>
      <c r="P696" s="146"/>
      <c r="Q696" s="146"/>
      <c r="R696" s="146"/>
      <c r="S696" s="146"/>
      <c r="T696" s="146"/>
      <c r="U696" s="146"/>
      <c r="V696" s="146"/>
      <c r="W696" s="146"/>
      <c r="X696" s="146"/>
      <c r="Y696" s="146"/>
      <c r="Z696" s="146"/>
      <c r="AA696" s="146"/>
    </row>
    <row r="697" spans="1:27" ht="15.75" customHeight="1" x14ac:dyDescent="0.25">
      <c r="A697" s="146"/>
      <c r="B697" s="146"/>
      <c r="C697" s="146"/>
      <c r="D697" s="146"/>
      <c r="E697" s="146"/>
      <c r="F697" s="146"/>
      <c r="G697" s="146"/>
      <c r="H697" s="146"/>
      <c r="I697" s="146"/>
      <c r="J697" s="146"/>
      <c r="K697" s="146"/>
      <c r="L697" s="146"/>
      <c r="M697" s="146"/>
      <c r="N697" s="146"/>
      <c r="O697" s="146"/>
      <c r="P697" s="146"/>
      <c r="Q697" s="146"/>
      <c r="R697" s="146"/>
      <c r="S697" s="146"/>
      <c r="T697" s="146"/>
      <c r="U697" s="146"/>
      <c r="V697" s="146"/>
      <c r="W697" s="146"/>
      <c r="X697" s="146"/>
      <c r="Y697" s="146"/>
      <c r="Z697" s="146"/>
      <c r="AA697" s="146"/>
    </row>
    <row r="698" spans="1:27" ht="15.75" customHeight="1" x14ac:dyDescent="0.25">
      <c r="A698" s="146"/>
      <c r="B698" s="146"/>
      <c r="C698" s="146"/>
      <c r="D698" s="146"/>
      <c r="E698" s="146"/>
      <c r="F698" s="146"/>
      <c r="G698" s="146"/>
      <c r="H698" s="146"/>
      <c r="I698" s="146"/>
      <c r="J698" s="146"/>
      <c r="K698" s="146"/>
      <c r="L698" s="146"/>
      <c r="M698" s="146"/>
      <c r="N698" s="146"/>
      <c r="O698" s="146"/>
      <c r="P698" s="146"/>
      <c r="Q698" s="146"/>
      <c r="R698" s="146"/>
      <c r="S698" s="146"/>
      <c r="T698" s="146"/>
      <c r="U698" s="146"/>
      <c r="V698" s="146"/>
      <c r="W698" s="146"/>
      <c r="X698" s="146"/>
      <c r="Y698" s="146"/>
      <c r="Z698" s="146"/>
      <c r="AA698" s="146"/>
    </row>
    <row r="699" spans="1:27" ht="15.75" customHeight="1" x14ac:dyDescent="0.25">
      <c r="A699" s="146"/>
      <c r="B699" s="146"/>
      <c r="C699" s="146"/>
      <c r="D699" s="146"/>
      <c r="E699" s="146"/>
      <c r="F699" s="146"/>
      <c r="G699" s="146"/>
      <c r="H699" s="146"/>
      <c r="I699" s="146"/>
      <c r="J699" s="146"/>
      <c r="K699" s="146"/>
      <c r="L699" s="146"/>
      <c r="M699" s="146"/>
      <c r="N699" s="146"/>
      <c r="O699" s="146"/>
      <c r="P699" s="146"/>
      <c r="Q699" s="146"/>
      <c r="R699" s="146"/>
      <c r="S699" s="146"/>
      <c r="T699" s="146"/>
      <c r="U699" s="146"/>
      <c r="V699" s="146"/>
      <c r="W699" s="146"/>
      <c r="X699" s="146"/>
      <c r="Y699" s="146"/>
      <c r="Z699" s="146"/>
      <c r="AA699" s="146"/>
    </row>
    <row r="700" spans="1:27" ht="15.75" customHeight="1" x14ac:dyDescent="0.25">
      <c r="A700" s="146"/>
      <c r="B700" s="146"/>
      <c r="C700" s="146"/>
      <c r="D700" s="146"/>
      <c r="E700" s="146"/>
      <c r="F700" s="146"/>
      <c r="G700" s="146"/>
      <c r="H700" s="146"/>
      <c r="I700" s="146"/>
      <c r="J700" s="146"/>
      <c r="K700" s="146"/>
      <c r="L700" s="146"/>
      <c r="M700" s="146"/>
      <c r="N700" s="146"/>
      <c r="O700" s="146"/>
      <c r="P700" s="146"/>
      <c r="Q700" s="146"/>
      <c r="R700" s="146"/>
      <c r="S700" s="146"/>
      <c r="T700" s="146"/>
      <c r="U700" s="146"/>
      <c r="V700" s="146"/>
      <c r="W700" s="146"/>
      <c r="X700" s="146"/>
      <c r="Y700" s="146"/>
      <c r="Z700" s="146"/>
      <c r="AA700" s="146"/>
    </row>
    <row r="701" spans="1:27" ht="15.75" customHeight="1" x14ac:dyDescent="0.25">
      <c r="A701" s="146"/>
      <c r="B701" s="146"/>
      <c r="C701" s="146"/>
      <c r="D701" s="146"/>
      <c r="E701" s="146"/>
      <c r="F701" s="146"/>
      <c r="G701" s="146"/>
      <c r="H701" s="146"/>
      <c r="I701" s="146"/>
      <c r="J701" s="146"/>
      <c r="K701" s="146"/>
      <c r="L701" s="146"/>
      <c r="M701" s="146"/>
      <c r="N701" s="146"/>
      <c r="O701" s="146"/>
      <c r="P701" s="146"/>
      <c r="Q701" s="146"/>
      <c r="R701" s="146"/>
      <c r="S701" s="146"/>
      <c r="T701" s="146"/>
      <c r="U701" s="146"/>
      <c r="V701" s="146"/>
      <c r="W701" s="146"/>
      <c r="X701" s="146"/>
      <c r="Y701" s="146"/>
      <c r="Z701" s="146"/>
      <c r="AA701" s="146"/>
    </row>
    <row r="702" spans="1:27" ht="15.75" customHeight="1" x14ac:dyDescent="0.25">
      <c r="A702" s="146"/>
      <c r="B702" s="146"/>
      <c r="C702" s="146"/>
      <c r="D702" s="146"/>
      <c r="E702" s="146"/>
      <c r="F702" s="146"/>
      <c r="G702" s="146"/>
      <c r="H702" s="146"/>
      <c r="I702" s="146"/>
      <c r="J702" s="146"/>
      <c r="K702" s="146"/>
      <c r="L702" s="146"/>
      <c r="M702" s="146"/>
      <c r="N702" s="146"/>
      <c r="O702" s="146"/>
      <c r="P702" s="146"/>
      <c r="Q702" s="146"/>
      <c r="R702" s="146"/>
      <c r="S702" s="146"/>
      <c r="T702" s="146"/>
      <c r="U702" s="146"/>
      <c r="V702" s="146"/>
      <c r="W702" s="146"/>
      <c r="X702" s="146"/>
      <c r="Y702" s="146"/>
      <c r="Z702" s="146"/>
      <c r="AA702" s="146"/>
    </row>
    <row r="703" spans="1:27" ht="15.75" customHeight="1" x14ac:dyDescent="0.25">
      <c r="A703" s="146"/>
      <c r="B703" s="146"/>
      <c r="C703" s="146"/>
      <c r="D703" s="146"/>
      <c r="E703" s="146"/>
      <c r="F703" s="146"/>
      <c r="G703" s="146"/>
      <c r="H703" s="146"/>
      <c r="I703" s="146"/>
      <c r="J703" s="146"/>
      <c r="K703" s="146"/>
      <c r="L703" s="146"/>
      <c r="M703" s="146"/>
      <c r="N703" s="146"/>
      <c r="O703" s="146"/>
      <c r="P703" s="146"/>
      <c r="Q703" s="146"/>
      <c r="R703" s="146"/>
      <c r="S703" s="146"/>
      <c r="T703" s="146"/>
      <c r="U703" s="146"/>
      <c r="V703" s="146"/>
      <c r="W703" s="146"/>
      <c r="X703" s="146"/>
      <c r="Y703" s="146"/>
      <c r="Z703" s="146"/>
      <c r="AA703" s="146"/>
    </row>
    <row r="704" spans="1:27" ht="15.75" customHeight="1" x14ac:dyDescent="0.25">
      <c r="A704" s="146"/>
      <c r="B704" s="146"/>
      <c r="C704" s="146"/>
      <c r="D704" s="146"/>
      <c r="E704" s="146"/>
      <c r="F704" s="146"/>
      <c r="G704" s="146"/>
      <c r="H704" s="146"/>
      <c r="I704" s="146"/>
      <c r="J704" s="146"/>
      <c r="K704" s="146"/>
      <c r="L704" s="146"/>
      <c r="M704" s="146"/>
      <c r="N704" s="146"/>
      <c r="O704" s="146"/>
      <c r="P704" s="146"/>
      <c r="Q704" s="146"/>
      <c r="R704" s="146"/>
      <c r="S704" s="146"/>
      <c r="T704" s="146"/>
      <c r="U704" s="146"/>
      <c r="V704" s="146"/>
      <c r="W704" s="146"/>
      <c r="X704" s="146"/>
      <c r="Y704" s="146"/>
      <c r="Z704" s="146"/>
      <c r="AA704" s="146"/>
    </row>
    <row r="705" spans="1:27" ht="15.75" customHeight="1" x14ac:dyDescent="0.25">
      <c r="A705" s="146"/>
      <c r="B705" s="146"/>
      <c r="C705" s="146"/>
      <c r="D705" s="146"/>
      <c r="E705" s="146"/>
      <c r="F705" s="146"/>
      <c r="G705" s="146"/>
      <c r="H705" s="146"/>
      <c r="I705" s="146"/>
      <c r="J705" s="146"/>
      <c r="K705" s="146"/>
      <c r="L705" s="146"/>
      <c r="M705" s="146"/>
      <c r="N705" s="146"/>
      <c r="O705" s="146"/>
      <c r="P705" s="146"/>
      <c r="Q705" s="146"/>
      <c r="R705" s="146"/>
      <c r="S705" s="146"/>
      <c r="T705" s="146"/>
      <c r="U705" s="146"/>
      <c r="V705" s="146"/>
      <c r="W705" s="146"/>
      <c r="X705" s="146"/>
      <c r="Y705" s="146"/>
      <c r="Z705" s="146"/>
      <c r="AA705" s="146"/>
    </row>
    <row r="706" spans="1:27" ht="15.75" customHeight="1" x14ac:dyDescent="0.25">
      <c r="A706" s="146"/>
      <c r="B706" s="146"/>
      <c r="C706" s="146"/>
      <c r="D706" s="146"/>
      <c r="E706" s="146"/>
      <c r="F706" s="146"/>
      <c r="G706" s="146"/>
      <c r="H706" s="146"/>
      <c r="I706" s="146"/>
      <c r="J706" s="146"/>
      <c r="K706" s="146"/>
      <c r="L706" s="146"/>
      <c r="M706" s="146"/>
      <c r="N706" s="146"/>
      <c r="O706" s="146"/>
      <c r="P706" s="146"/>
      <c r="Q706" s="146"/>
      <c r="R706" s="146"/>
      <c r="S706" s="146"/>
      <c r="T706" s="146"/>
      <c r="U706" s="146"/>
      <c r="V706" s="146"/>
      <c r="W706" s="146"/>
      <c r="X706" s="146"/>
      <c r="Y706" s="146"/>
      <c r="Z706" s="146"/>
      <c r="AA706" s="146"/>
    </row>
    <row r="707" spans="1:27" ht="15.75" customHeight="1" x14ac:dyDescent="0.25">
      <c r="A707" s="146"/>
      <c r="B707" s="146"/>
      <c r="C707" s="146"/>
      <c r="D707" s="146"/>
      <c r="E707" s="146"/>
      <c r="F707" s="146"/>
      <c r="G707" s="146"/>
      <c r="H707" s="146"/>
      <c r="I707" s="146"/>
      <c r="J707" s="146"/>
      <c r="K707" s="146"/>
      <c r="L707" s="146"/>
      <c r="M707" s="146"/>
      <c r="N707" s="146"/>
      <c r="O707" s="146"/>
      <c r="P707" s="146"/>
      <c r="Q707" s="146"/>
      <c r="R707" s="146"/>
      <c r="S707" s="146"/>
      <c r="T707" s="146"/>
      <c r="U707" s="146"/>
      <c r="V707" s="146"/>
      <c r="W707" s="146"/>
      <c r="X707" s="146"/>
      <c r="Y707" s="146"/>
      <c r="Z707" s="146"/>
      <c r="AA707" s="146"/>
    </row>
    <row r="708" spans="1:27" ht="15.75" customHeight="1" x14ac:dyDescent="0.25">
      <c r="A708" s="146"/>
      <c r="B708" s="146"/>
      <c r="C708" s="146"/>
      <c r="D708" s="146"/>
      <c r="E708" s="146"/>
      <c r="F708" s="146"/>
      <c r="G708" s="146"/>
      <c r="H708" s="146"/>
      <c r="I708" s="146"/>
      <c r="J708" s="146"/>
      <c r="K708" s="146"/>
      <c r="L708" s="146"/>
      <c r="M708" s="146"/>
      <c r="N708" s="146"/>
      <c r="O708" s="146"/>
      <c r="P708" s="146"/>
      <c r="Q708" s="146"/>
      <c r="R708" s="146"/>
      <c r="S708" s="146"/>
      <c r="T708" s="146"/>
      <c r="U708" s="146"/>
      <c r="V708" s="146"/>
      <c r="W708" s="146"/>
      <c r="X708" s="146"/>
      <c r="Y708" s="146"/>
      <c r="Z708" s="146"/>
      <c r="AA708" s="146"/>
    </row>
    <row r="709" spans="1:27" ht="15.75" customHeight="1" x14ac:dyDescent="0.25">
      <c r="A709" s="146"/>
      <c r="B709" s="146"/>
      <c r="C709" s="146"/>
      <c r="D709" s="146"/>
      <c r="E709" s="146"/>
      <c r="F709" s="146"/>
      <c r="G709" s="146"/>
      <c r="H709" s="146"/>
      <c r="I709" s="146"/>
      <c r="J709" s="146"/>
      <c r="K709" s="146"/>
      <c r="L709" s="146"/>
      <c r="M709" s="146"/>
      <c r="N709" s="146"/>
      <c r="O709" s="146"/>
      <c r="P709" s="146"/>
      <c r="Q709" s="146"/>
      <c r="R709" s="146"/>
      <c r="S709" s="146"/>
      <c r="T709" s="146"/>
      <c r="U709" s="146"/>
      <c r="V709" s="146"/>
      <c r="W709" s="146"/>
      <c r="X709" s="146"/>
      <c r="Y709" s="146"/>
      <c r="Z709" s="146"/>
      <c r="AA709" s="146"/>
    </row>
    <row r="710" spans="1:27" ht="15.75" customHeight="1" x14ac:dyDescent="0.25">
      <c r="A710" s="146"/>
      <c r="B710" s="146"/>
      <c r="C710" s="146"/>
      <c r="D710" s="146"/>
      <c r="E710" s="146"/>
      <c r="F710" s="146"/>
      <c r="G710" s="146"/>
      <c r="H710" s="146"/>
      <c r="I710" s="146"/>
      <c r="J710" s="146"/>
      <c r="K710" s="146"/>
      <c r="L710" s="146"/>
      <c r="M710" s="146"/>
      <c r="N710" s="146"/>
      <c r="O710" s="146"/>
      <c r="P710" s="146"/>
      <c r="Q710" s="146"/>
      <c r="R710" s="146"/>
      <c r="S710" s="146"/>
      <c r="T710" s="146"/>
      <c r="U710" s="146"/>
      <c r="V710" s="146"/>
      <c r="W710" s="146"/>
      <c r="X710" s="146"/>
      <c r="Y710" s="146"/>
      <c r="Z710" s="146"/>
      <c r="AA710" s="146"/>
    </row>
    <row r="711" spans="1:27" ht="15.75" customHeight="1" x14ac:dyDescent="0.25">
      <c r="A711" s="146"/>
      <c r="B711" s="146"/>
      <c r="C711" s="146"/>
      <c r="D711" s="146"/>
      <c r="E711" s="146"/>
      <c r="F711" s="146"/>
      <c r="G711" s="146"/>
      <c r="H711" s="146"/>
      <c r="I711" s="146"/>
      <c r="J711" s="146"/>
      <c r="K711" s="146"/>
      <c r="L711" s="146"/>
      <c r="M711" s="146"/>
      <c r="N711" s="146"/>
      <c r="O711" s="146"/>
      <c r="P711" s="146"/>
      <c r="Q711" s="146"/>
      <c r="R711" s="146"/>
      <c r="S711" s="146"/>
      <c r="T711" s="146"/>
      <c r="U711" s="146"/>
      <c r="V711" s="146"/>
      <c r="W711" s="146"/>
      <c r="X711" s="146"/>
      <c r="Y711" s="146"/>
      <c r="Z711" s="146"/>
      <c r="AA711" s="146"/>
    </row>
    <row r="712" spans="1:27" ht="15.75" customHeight="1" x14ac:dyDescent="0.25">
      <c r="A712" s="146"/>
      <c r="B712" s="146"/>
      <c r="C712" s="146"/>
      <c r="D712" s="146"/>
      <c r="E712" s="146"/>
      <c r="F712" s="146"/>
      <c r="G712" s="146"/>
      <c r="H712" s="146"/>
      <c r="I712" s="146"/>
      <c r="J712" s="146"/>
      <c r="K712" s="146"/>
      <c r="L712" s="146"/>
      <c r="M712" s="146"/>
      <c r="N712" s="146"/>
      <c r="O712" s="146"/>
      <c r="P712" s="146"/>
      <c r="Q712" s="146"/>
      <c r="R712" s="146"/>
      <c r="S712" s="146"/>
      <c r="T712" s="146"/>
      <c r="U712" s="146"/>
      <c r="V712" s="146"/>
      <c r="W712" s="146"/>
      <c r="X712" s="146"/>
      <c r="Y712" s="146"/>
      <c r="Z712" s="146"/>
      <c r="AA712" s="146"/>
    </row>
    <row r="713" spans="1:27" ht="15.75" customHeight="1" x14ac:dyDescent="0.25">
      <c r="A713" s="146"/>
      <c r="B713" s="146"/>
      <c r="C713" s="146"/>
      <c r="D713" s="146"/>
      <c r="E713" s="146"/>
      <c r="F713" s="146"/>
      <c r="G713" s="146"/>
      <c r="H713" s="146"/>
      <c r="I713" s="146"/>
      <c r="J713" s="146"/>
      <c r="K713" s="146"/>
      <c r="L713" s="146"/>
      <c r="M713" s="146"/>
      <c r="N713" s="146"/>
      <c r="O713" s="146"/>
      <c r="P713" s="146"/>
      <c r="Q713" s="146"/>
      <c r="R713" s="146"/>
      <c r="S713" s="146"/>
      <c r="T713" s="146"/>
      <c r="U713" s="146"/>
      <c r="V713" s="146"/>
      <c r="W713" s="146"/>
      <c r="X713" s="146"/>
      <c r="Y713" s="146"/>
      <c r="Z713" s="146"/>
      <c r="AA713" s="146"/>
    </row>
    <row r="714" spans="1:27" ht="15.75" customHeight="1" x14ac:dyDescent="0.25">
      <c r="A714" s="146"/>
      <c r="B714" s="146"/>
      <c r="C714" s="146"/>
      <c r="D714" s="146"/>
      <c r="E714" s="146"/>
      <c r="F714" s="146"/>
      <c r="G714" s="146"/>
      <c r="H714" s="146"/>
      <c r="I714" s="146"/>
      <c r="J714" s="146"/>
      <c r="K714" s="146"/>
      <c r="L714" s="146"/>
      <c r="M714" s="146"/>
      <c r="N714" s="146"/>
      <c r="O714" s="146"/>
      <c r="P714" s="146"/>
      <c r="Q714" s="146"/>
      <c r="R714" s="146"/>
      <c r="S714" s="146"/>
      <c r="T714" s="146"/>
      <c r="U714" s="146"/>
      <c r="V714" s="146"/>
      <c r="W714" s="146"/>
      <c r="X714" s="146"/>
      <c r="Y714" s="146"/>
      <c r="Z714" s="146"/>
      <c r="AA714" s="146"/>
    </row>
    <row r="715" spans="1:27" ht="15.75" customHeight="1" x14ac:dyDescent="0.25">
      <c r="A715" s="146"/>
      <c r="B715" s="146"/>
      <c r="C715" s="146"/>
      <c r="D715" s="146"/>
      <c r="E715" s="146"/>
      <c r="F715" s="146"/>
      <c r="G715" s="146"/>
      <c r="H715" s="146"/>
      <c r="I715" s="146"/>
      <c r="J715" s="146"/>
      <c r="K715" s="146"/>
      <c r="L715" s="146"/>
      <c r="M715" s="146"/>
      <c r="N715" s="146"/>
      <c r="O715" s="146"/>
      <c r="P715" s="146"/>
      <c r="Q715" s="146"/>
      <c r="R715" s="146"/>
      <c r="S715" s="146"/>
      <c r="T715" s="146"/>
      <c r="U715" s="146"/>
      <c r="V715" s="146"/>
      <c r="W715" s="146"/>
      <c r="X715" s="146"/>
      <c r="Y715" s="146"/>
      <c r="Z715" s="146"/>
      <c r="AA715" s="146"/>
    </row>
    <row r="716" spans="1:27" ht="15.75" customHeight="1" x14ac:dyDescent="0.25">
      <c r="A716" s="146"/>
      <c r="B716" s="146"/>
      <c r="C716" s="146"/>
      <c r="D716" s="146"/>
      <c r="E716" s="146"/>
      <c r="F716" s="146"/>
      <c r="G716" s="146"/>
      <c r="H716" s="146"/>
      <c r="I716" s="146"/>
      <c r="J716" s="146"/>
      <c r="K716" s="146"/>
      <c r="L716" s="146"/>
      <c r="M716" s="146"/>
      <c r="N716" s="146"/>
      <c r="O716" s="146"/>
      <c r="P716" s="146"/>
      <c r="Q716" s="146"/>
      <c r="R716" s="146"/>
      <c r="S716" s="146"/>
      <c r="T716" s="146"/>
      <c r="U716" s="146"/>
      <c r="V716" s="146"/>
      <c r="W716" s="146"/>
      <c r="X716" s="146"/>
      <c r="Y716" s="146"/>
      <c r="Z716" s="146"/>
      <c r="AA716" s="146"/>
    </row>
    <row r="717" spans="1:27" ht="15.75" customHeight="1" x14ac:dyDescent="0.25">
      <c r="A717" s="146"/>
      <c r="B717" s="146"/>
      <c r="C717" s="146"/>
      <c r="D717" s="146"/>
      <c r="E717" s="146"/>
      <c r="F717" s="146"/>
      <c r="G717" s="146"/>
      <c r="H717" s="146"/>
      <c r="I717" s="146"/>
      <c r="J717" s="146"/>
      <c r="K717" s="146"/>
      <c r="L717" s="146"/>
      <c r="M717" s="146"/>
      <c r="N717" s="146"/>
      <c r="O717" s="146"/>
      <c r="P717" s="146"/>
      <c r="Q717" s="146"/>
      <c r="R717" s="146"/>
      <c r="S717" s="146"/>
      <c r="T717" s="146"/>
      <c r="U717" s="146"/>
      <c r="V717" s="146"/>
      <c r="W717" s="146"/>
      <c r="X717" s="146"/>
      <c r="Y717" s="146"/>
      <c r="Z717" s="146"/>
      <c r="AA717" s="146"/>
    </row>
    <row r="718" spans="1:27" ht="15.75" customHeight="1" x14ac:dyDescent="0.25">
      <c r="A718" s="146"/>
      <c r="B718" s="146"/>
      <c r="C718" s="146"/>
      <c r="D718" s="146"/>
      <c r="E718" s="146"/>
      <c r="F718" s="146"/>
      <c r="G718" s="146"/>
      <c r="H718" s="146"/>
      <c r="I718" s="146"/>
      <c r="J718" s="146"/>
      <c r="K718" s="146"/>
      <c r="L718" s="146"/>
      <c r="M718" s="146"/>
      <c r="N718" s="146"/>
      <c r="O718" s="146"/>
      <c r="P718" s="146"/>
      <c r="Q718" s="146"/>
      <c r="R718" s="146"/>
      <c r="S718" s="146"/>
      <c r="T718" s="146"/>
      <c r="U718" s="146"/>
      <c r="V718" s="146"/>
      <c r="W718" s="146"/>
      <c r="X718" s="146"/>
      <c r="Y718" s="146"/>
      <c r="Z718" s="146"/>
      <c r="AA718" s="146"/>
    </row>
    <row r="719" spans="1:27" ht="15.75" customHeight="1" x14ac:dyDescent="0.25">
      <c r="A719" s="146"/>
      <c r="B719" s="146"/>
      <c r="C719" s="146"/>
      <c r="D719" s="146"/>
      <c r="E719" s="146"/>
      <c r="F719" s="146"/>
      <c r="G719" s="146"/>
      <c r="H719" s="146"/>
      <c r="I719" s="146"/>
      <c r="J719" s="146"/>
      <c r="K719" s="146"/>
      <c r="L719" s="146"/>
      <c r="M719" s="146"/>
      <c r="N719" s="146"/>
      <c r="O719" s="146"/>
      <c r="P719" s="146"/>
      <c r="Q719" s="146"/>
      <c r="R719" s="146"/>
      <c r="S719" s="146"/>
      <c r="T719" s="146"/>
      <c r="U719" s="146"/>
      <c r="V719" s="146"/>
      <c r="W719" s="146"/>
      <c r="X719" s="146"/>
      <c r="Y719" s="146"/>
      <c r="Z719" s="146"/>
      <c r="AA719" s="146"/>
    </row>
    <row r="720" spans="1:27" ht="15.75" customHeight="1" x14ac:dyDescent="0.25">
      <c r="A720" s="146"/>
      <c r="B720" s="146"/>
      <c r="C720" s="146"/>
      <c r="D720" s="146"/>
      <c r="E720" s="146"/>
      <c r="F720" s="146"/>
      <c r="G720" s="146"/>
      <c r="H720" s="146"/>
      <c r="I720" s="146"/>
      <c r="J720" s="146"/>
      <c r="K720" s="146"/>
      <c r="L720" s="146"/>
      <c r="M720" s="146"/>
      <c r="N720" s="146"/>
      <c r="O720" s="146"/>
      <c r="P720" s="146"/>
      <c r="Q720" s="146"/>
      <c r="R720" s="146"/>
      <c r="S720" s="146"/>
      <c r="T720" s="146"/>
      <c r="U720" s="146"/>
      <c r="V720" s="146"/>
      <c r="W720" s="146"/>
      <c r="X720" s="146"/>
      <c r="Y720" s="146"/>
      <c r="Z720" s="146"/>
      <c r="AA720" s="146"/>
    </row>
    <row r="721" spans="1:27" ht="15.75" customHeight="1" x14ac:dyDescent="0.25">
      <c r="A721" s="146"/>
      <c r="B721" s="146"/>
      <c r="C721" s="146"/>
      <c r="D721" s="146"/>
      <c r="E721" s="146"/>
      <c r="F721" s="146"/>
      <c r="G721" s="146"/>
      <c r="H721" s="146"/>
      <c r="I721" s="146"/>
      <c r="J721" s="146"/>
      <c r="K721" s="146"/>
      <c r="L721" s="146"/>
      <c r="M721" s="146"/>
      <c r="N721" s="146"/>
      <c r="O721" s="146"/>
      <c r="P721" s="146"/>
      <c r="Q721" s="146"/>
      <c r="R721" s="146"/>
      <c r="S721" s="146"/>
      <c r="T721" s="146"/>
      <c r="U721" s="146"/>
      <c r="V721" s="146"/>
      <c r="W721" s="146"/>
      <c r="X721" s="146"/>
      <c r="Y721" s="146"/>
      <c r="Z721" s="146"/>
      <c r="AA721" s="146"/>
    </row>
    <row r="722" spans="1:27" ht="15.75" customHeight="1" x14ac:dyDescent="0.25">
      <c r="A722" s="146"/>
      <c r="B722" s="146"/>
      <c r="C722" s="146"/>
      <c r="D722" s="146"/>
      <c r="E722" s="146"/>
      <c r="F722" s="146"/>
      <c r="G722" s="146"/>
      <c r="H722" s="146"/>
      <c r="I722" s="146"/>
      <c r="J722" s="146"/>
      <c r="K722" s="146"/>
      <c r="L722" s="146"/>
      <c r="M722" s="146"/>
      <c r="N722" s="146"/>
      <c r="O722" s="146"/>
      <c r="P722" s="146"/>
      <c r="Q722" s="146"/>
      <c r="R722" s="146"/>
      <c r="S722" s="146"/>
      <c r="T722" s="146"/>
      <c r="U722" s="146"/>
      <c r="V722" s="146"/>
      <c r="W722" s="146"/>
      <c r="X722" s="146"/>
      <c r="Y722" s="146"/>
      <c r="Z722" s="146"/>
      <c r="AA722" s="146"/>
    </row>
    <row r="723" spans="1:27" ht="15.75" customHeight="1" x14ac:dyDescent="0.25">
      <c r="A723" s="146"/>
      <c r="B723" s="146"/>
      <c r="C723" s="146"/>
      <c r="D723" s="146"/>
      <c r="E723" s="146"/>
      <c r="F723" s="146"/>
      <c r="G723" s="146"/>
      <c r="H723" s="146"/>
      <c r="I723" s="146"/>
      <c r="J723" s="146"/>
      <c r="K723" s="146"/>
      <c r="L723" s="146"/>
      <c r="M723" s="146"/>
      <c r="N723" s="146"/>
      <c r="O723" s="146"/>
      <c r="P723" s="146"/>
      <c r="Q723" s="146"/>
      <c r="R723" s="146"/>
      <c r="S723" s="146"/>
      <c r="T723" s="146"/>
      <c r="U723" s="146"/>
      <c r="V723" s="146"/>
      <c r="W723" s="146"/>
      <c r="X723" s="146"/>
      <c r="Y723" s="146"/>
      <c r="Z723" s="146"/>
      <c r="AA723" s="146"/>
    </row>
    <row r="724" spans="1:27" ht="15.75" customHeight="1" x14ac:dyDescent="0.25">
      <c r="A724" s="146"/>
      <c r="B724" s="146"/>
      <c r="C724" s="146"/>
      <c r="D724" s="146"/>
      <c r="E724" s="146"/>
      <c r="F724" s="146"/>
      <c r="G724" s="146"/>
      <c r="H724" s="146"/>
      <c r="I724" s="146"/>
      <c r="J724" s="146"/>
      <c r="K724" s="146"/>
      <c r="L724" s="146"/>
      <c r="M724" s="146"/>
      <c r="N724" s="146"/>
      <c r="O724" s="146"/>
      <c r="P724" s="146"/>
      <c r="Q724" s="146"/>
      <c r="R724" s="146"/>
      <c r="S724" s="146"/>
      <c r="T724" s="146"/>
      <c r="U724" s="146"/>
      <c r="V724" s="146"/>
      <c r="W724" s="146"/>
      <c r="X724" s="146"/>
      <c r="Y724" s="146"/>
      <c r="Z724" s="146"/>
      <c r="AA724" s="146"/>
    </row>
    <row r="725" spans="1:27" ht="15.75" customHeight="1" x14ac:dyDescent="0.25">
      <c r="A725" s="146"/>
      <c r="B725" s="146"/>
      <c r="C725" s="146"/>
      <c r="D725" s="146"/>
      <c r="E725" s="146"/>
      <c r="F725" s="146"/>
      <c r="G725" s="146"/>
      <c r="H725" s="146"/>
      <c r="I725" s="146"/>
      <c r="J725" s="146"/>
      <c r="K725" s="146"/>
      <c r="L725" s="146"/>
      <c r="M725" s="146"/>
      <c r="N725" s="146"/>
      <c r="O725" s="146"/>
      <c r="P725" s="146"/>
      <c r="Q725" s="146"/>
      <c r="R725" s="146"/>
      <c r="S725" s="146"/>
      <c r="T725" s="146"/>
      <c r="U725" s="146"/>
      <c r="V725" s="146"/>
      <c r="W725" s="146"/>
      <c r="X725" s="146"/>
      <c r="Y725" s="146"/>
      <c r="Z725" s="146"/>
      <c r="AA725" s="146"/>
    </row>
    <row r="726" spans="1:27" ht="15.75" customHeight="1" x14ac:dyDescent="0.25">
      <c r="A726" s="146"/>
      <c r="B726" s="146"/>
      <c r="C726" s="146"/>
      <c r="D726" s="146"/>
      <c r="E726" s="146"/>
      <c r="F726" s="146"/>
      <c r="G726" s="146"/>
      <c r="H726" s="146"/>
      <c r="I726" s="146"/>
      <c r="J726" s="146"/>
      <c r="K726" s="146"/>
      <c r="L726" s="146"/>
      <c r="M726" s="146"/>
      <c r="N726" s="146"/>
      <c r="O726" s="146"/>
      <c r="P726" s="146"/>
      <c r="Q726" s="146"/>
      <c r="R726" s="146"/>
      <c r="S726" s="146"/>
      <c r="T726" s="146"/>
      <c r="U726" s="146"/>
      <c r="V726" s="146"/>
      <c r="W726" s="146"/>
      <c r="X726" s="146"/>
      <c r="Y726" s="146"/>
      <c r="Z726" s="146"/>
      <c r="AA726" s="146"/>
    </row>
    <row r="727" spans="1:27" ht="15.75" customHeight="1" x14ac:dyDescent="0.25">
      <c r="A727" s="146"/>
      <c r="B727" s="146"/>
      <c r="C727" s="146"/>
      <c r="D727" s="146"/>
      <c r="E727" s="146"/>
      <c r="F727" s="146"/>
      <c r="G727" s="146"/>
      <c r="H727" s="146"/>
      <c r="I727" s="146"/>
      <c r="J727" s="146"/>
      <c r="K727" s="146"/>
      <c r="L727" s="146"/>
      <c r="M727" s="146"/>
      <c r="N727" s="146"/>
      <c r="O727" s="146"/>
      <c r="P727" s="146"/>
      <c r="Q727" s="146"/>
      <c r="R727" s="146"/>
      <c r="S727" s="146"/>
      <c r="T727" s="146"/>
      <c r="U727" s="146"/>
      <c r="V727" s="146"/>
      <c r="W727" s="146"/>
      <c r="X727" s="146"/>
      <c r="Y727" s="146"/>
      <c r="Z727" s="146"/>
      <c r="AA727" s="146"/>
    </row>
    <row r="728" spans="1:27" ht="15.75" customHeight="1" x14ac:dyDescent="0.25">
      <c r="A728" s="146"/>
      <c r="B728" s="146"/>
      <c r="C728" s="146"/>
      <c r="D728" s="146"/>
      <c r="E728" s="146"/>
      <c r="F728" s="146"/>
      <c r="G728" s="146"/>
      <c r="H728" s="146"/>
      <c r="I728" s="146"/>
      <c r="J728" s="146"/>
      <c r="K728" s="146"/>
      <c r="L728" s="146"/>
      <c r="M728" s="146"/>
      <c r="N728" s="146"/>
      <c r="O728" s="146"/>
      <c r="P728" s="146"/>
      <c r="Q728" s="146"/>
      <c r="R728" s="146"/>
      <c r="S728" s="146"/>
      <c r="T728" s="146"/>
      <c r="U728" s="146"/>
      <c r="V728" s="146"/>
      <c r="W728" s="146"/>
      <c r="X728" s="146"/>
      <c r="Y728" s="146"/>
      <c r="Z728" s="146"/>
      <c r="AA728" s="146"/>
    </row>
    <row r="729" spans="1:27" ht="15.75" customHeight="1" x14ac:dyDescent="0.25">
      <c r="A729" s="146"/>
      <c r="B729" s="146"/>
      <c r="C729" s="146"/>
      <c r="D729" s="146"/>
      <c r="E729" s="146"/>
      <c r="F729" s="146"/>
      <c r="G729" s="146"/>
      <c r="H729" s="146"/>
      <c r="I729" s="146"/>
      <c r="J729" s="146"/>
      <c r="K729" s="146"/>
      <c r="L729" s="146"/>
      <c r="M729" s="146"/>
      <c r="N729" s="146"/>
      <c r="O729" s="146"/>
      <c r="P729" s="146"/>
      <c r="Q729" s="146"/>
      <c r="R729" s="146"/>
      <c r="S729" s="146"/>
      <c r="T729" s="146"/>
      <c r="U729" s="146"/>
      <c r="V729" s="146"/>
      <c r="W729" s="146"/>
      <c r="X729" s="146"/>
      <c r="Y729" s="146"/>
      <c r="Z729" s="146"/>
      <c r="AA729" s="146"/>
    </row>
    <row r="730" spans="1:27" ht="15.75" customHeight="1" x14ac:dyDescent="0.25">
      <c r="A730" s="146"/>
      <c r="B730" s="146"/>
      <c r="C730" s="146"/>
      <c r="D730" s="146"/>
      <c r="E730" s="146"/>
      <c r="F730" s="146"/>
      <c r="G730" s="146"/>
      <c r="H730" s="146"/>
      <c r="I730" s="146"/>
      <c r="J730" s="146"/>
      <c r="K730" s="146"/>
      <c r="L730" s="146"/>
      <c r="M730" s="146"/>
      <c r="N730" s="146"/>
      <c r="O730" s="146"/>
      <c r="P730" s="146"/>
      <c r="Q730" s="146"/>
      <c r="R730" s="146"/>
      <c r="S730" s="146"/>
      <c r="T730" s="146"/>
      <c r="U730" s="146"/>
      <c r="V730" s="146"/>
      <c r="W730" s="146"/>
      <c r="X730" s="146"/>
      <c r="Y730" s="146"/>
      <c r="Z730" s="146"/>
      <c r="AA730" s="146"/>
    </row>
    <row r="731" spans="1:27" ht="15.75" customHeight="1" x14ac:dyDescent="0.25">
      <c r="A731" s="146"/>
      <c r="B731" s="146"/>
      <c r="C731" s="146"/>
      <c r="D731" s="146"/>
      <c r="E731" s="146"/>
      <c r="F731" s="146"/>
      <c r="G731" s="146"/>
      <c r="H731" s="146"/>
      <c r="I731" s="146"/>
      <c r="J731" s="146"/>
      <c r="K731" s="146"/>
      <c r="L731" s="146"/>
      <c r="M731" s="146"/>
      <c r="N731" s="146"/>
      <c r="O731" s="146"/>
      <c r="P731" s="146"/>
      <c r="Q731" s="146"/>
      <c r="R731" s="146"/>
      <c r="S731" s="146"/>
      <c r="T731" s="146"/>
      <c r="U731" s="146"/>
      <c r="V731" s="146"/>
      <c r="W731" s="146"/>
      <c r="X731" s="146"/>
      <c r="Y731" s="146"/>
      <c r="Z731" s="146"/>
      <c r="AA731" s="146"/>
    </row>
    <row r="732" spans="1:27" ht="15.75" customHeight="1" x14ac:dyDescent="0.25">
      <c r="A732" s="146"/>
      <c r="B732" s="146"/>
      <c r="C732" s="146"/>
      <c r="D732" s="146"/>
      <c r="E732" s="146"/>
      <c r="F732" s="146"/>
      <c r="G732" s="146"/>
      <c r="H732" s="146"/>
      <c r="I732" s="146"/>
      <c r="J732" s="146"/>
      <c r="K732" s="146"/>
      <c r="L732" s="146"/>
      <c r="M732" s="146"/>
      <c r="N732" s="146"/>
      <c r="O732" s="146"/>
      <c r="P732" s="146"/>
      <c r="Q732" s="146"/>
      <c r="R732" s="146"/>
      <c r="S732" s="146"/>
      <c r="T732" s="146"/>
      <c r="U732" s="146"/>
      <c r="V732" s="146"/>
      <c r="W732" s="146"/>
      <c r="X732" s="146"/>
      <c r="Y732" s="146"/>
      <c r="Z732" s="146"/>
      <c r="AA732" s="146"/>
    </row>
    <row r="733" spans="1:27" ht="15.75" customHeight="1" x14ac:dyDescent="0.25">
      <c r="A733" s="146"/>
      <c r="B733" s="146"/>
      <c r="C733" s="146"/>
      <c r="D733" s="146"/>
      <c r="E733" s="146"/>
      <c r="F733" s="146"/>
      <c r="G733" s="146"/>
      <c r="H733" s="146"/>
      <c r="I733" s="146"/>
      <c r="J733" s="146"/>
      <c r="K733" s="146"/>
      <c r="L733" s="146"/>
      <c r="M733" s="146"/>
      <c r="N733" s="146"/>
      <c r="O733" s="146"/>
      <c r="P733" s="146"/>
      <c r="Q733" s="146"/>
      <c r="R733" s="146"/>
      <c r="S733" s="146"/>
      <c r="T733" s="146"/>
      <c r="U733" s="146"/>
      <c r="V733" s="146"/>
      <c r="W733" s="146"/>
      <c r="X733" s="146"/>
      <c r="Y733" s="146"/>
      <c r="Z733" s="146"/>
      <c r="AA733" s="146"/>
    </row>
    <row r="734" spans="1:27" ht="15.75" customHeight="1" x14ac:dyDescent="0.25">
      <c r="A734" s="146"/>
      <c r="B734" s="146"/>
      <c r="C734" s="146"/>
      <c r="D734" s="146"/>
      <c r="E734" s="146"/>
      <c r="F734" s="146"/>
      <c r="G734" s="146"/>
      <c r="H734" s="146"/>
      <c r="I734" s="146"/>
      <c r="J734" s="146"/>
      <c r="K734" s="146"/>
      <c r="L734" s="146"/>
      <c r="M734" s="146"/>
      <c r="N734" s="146"/>
      <c r="O734" s="146"/>
      <c r="P734" s="146"/>
      <c r="Q734" s="146"/>
      <c r="R734" s="146"/>
      <c r="S734" s="146"/>
      <c r="T734" s="146"/>
      <c r="U734" s="146"/>
      <c r="V734" s="146"/>
      <c r="W734" s="146"/>
      <c r="X734" s="146"/>
      <c r="Y734" s="146"/>
      <c r="Z734" s="146"/>
      <c r="AA734" s="146"/>
    </row>
    <row r="735" spans="1:27" ht="15.75" customHeight="1" x14ac:dyDescent="0.25">
      <c r="A735" s="146"/>
      <c r="B735" s="146"/>
      <c r="C735" s="146"/>
      <c r="D735" s="146"/>
      <c r="E735" s="146"/>
      <c r="F735" s="146"/>
      <c r="G735" s="146"/>
      <c r="H735" s="146"/>
      <c r="I735" s="146"/>
      <c r="J735" s="146"/>
      <c r="K735" s="146"/>
      <c r="L735" s="146"/>
      <c r="M735" s="146"/>
      <c r="N735" s="146"/>
      <c r="O735" s="146"/>
      <c r="P735" s="146"/>
      <c r="Q735" s="146"/>
      <c r="R735" s="146"/>
      <c r="S735" s="146"/>
      <c r="T735" s="146"/>
      <c r="U735" s="146"/>
      <c r="V735" s="146"/>
      <c r="W735" s="146"/>
      <c r="X735" s="146"/>
      <c r="Y735" s="146"/>
      <c r="Z735" s="146"/>
      <c r="AA735" s="146"/>
    </row>
    <row r="736" spans="1:27" ht="15.75" customHeight="1" x14ac:dyDescent="0.25">
      <c r="A736" s="146"/>
      <c r="B736" s="146"/>
      <c r="C736" s="146"/>
      <c r="D736" s="146"/>
      <c r="E736" s="146"/>
      <c r="F736" s="146"/>
      <c r="G736" s="146"/>
      <c r="H736" s="146"/>
      <c r="I736" s="146"/>
      <c r="J736" s="146"/>
      <c r="K736" s="146"/>
      <c r="L736" s="146"/>
      <c r="M736" s="146"/>
      <c r="N736" s="146"/>
      <c r="O736" s="146"/>
      <c r="P736" s="146"/>
      <c r="Q736" s="146"/>
      <c r="R736" s="146"/>
      <c r="S736" s="146"/>
      <c r="T736" s="146"/>
      <c r="U736" s="146"/>
      <c r="V736" s="146"/>
      <c r="W736" s="146"/>
      <c r="X736" s="146"/>
      <c r="Y736" s="146"/>
      <c r="Z736" s="146"/>
      <c r="AA736" s="146"/>
    </row>
    <row r="737" spans="1:27" ht="15.75" customHeight="1" x14ac:dyDescent="0.25">
      <c r="A737" s="146"/>
      <c r="B737" s="146"/>
      <c r="C737" s="146"/>
      <c r="D737" s="146"/>
      <c r="E737" s="146"/>
      <c r="F737" s="146"/>
      <c r="G737" s="146"/>
      <c r="H737" s="146"/>
      <c r="I737" s="146"/>
      <c r="J737" s="146"/>
      <c r="K737" s="146"/>
      <c r="L737" s="146"/>
      <c r="M737" s="146"/>
      <c r="N737" s="146"/>
      <c r="O737" s="146"/>
      <c r="P737" s="146"/>
      <c r="Q737" s="146"/>
      <c r="R737" s="146"/>
      <c r="S737" s="146"/>
      <c r="T737" s="146"/>
      <c r="U737" s="146"/>
      <c r="V737" s="146"/>
      <c r="W737" s="146"/>
      <c r="X737" s="146"/>
      <c r="Y737" s="146"/>
      <c r="Z737" s="146"/>
      <c r="AA737" s="146"/>
    </row>
    <row r="738" spans="1:27" ht="15.75" customHeight="1" x14ac:dyDescent="0.25">
      <c r="A738" s="146"/>
      <c r="B738" s="146"/>
      <c r="C738" s="146"/>
      <c r="D738" s="146"/>
      <c r="E738" s="146"/>
      <c r="F738" s="146"/>
      <c r="G738" s="146"/>
      <c r="H738" s="146"/>
      <c r="I738" s="146"/>
      <c r="J738" s="146"/>
      <c r="K738" s="146"/>
      <c r="L738" s="146"/>
      <c r="M738" s="146"/>
      <c r="N738" s="146"/>
      <c r="O738" s="146"/>
      <c r="P738" s="146"/>
      <c r="Q738" s="146"/>
      <c r="R738" s="146"/>
      <c r="S738" s="146"/>
      <c r="T738" s="146"/>
      <c r="U738" s="146"/>
      <c r="V738" s="146"/>
      <c r="W738" s="146"/>
      <c r="X738" s="146"/>
      <c r="Y738" s="146"/>
      <c r="Z738" s="146"/>
      <c r="AA738" s="146"/>
    </row>
    <row r="739" spans="1:27" ht="15.75" customHeight="1" x14ac:dyDescent="0.25">
      <c r="A739" s="146"/>
      <c r="B739" s="146"/>
      <c r="C739" s="146"/>
      <c r="D739" s="146"/>
      <c r="E739" s="146"/>
      <c r="F739" s="146"/>
      <c r="G739" s="146"/>
      <c r="H739" s="146"/>
      <c r="I739" s="146"/>
      <c r="J739" s="146"/>
      <c r="K739" s="146"/>
      <c r="L739" s="146"/>
      <c r="M739" s="146"/>
      <c r="N739" s="146"/>
      <c r="O739" s="146"/>
      <c r="P739" s="146"/>
      <c r="Q739" s="146"/>
      <c r="R739" s="146"/>
      <c r="S739" s="146"/>
      <c r="T739" s="146"/>
      <c r="U739" s="146"/>
      <c r="V739" s="146"/>
      <c r="W739" s="146"/>
      <c r="X739" s="146"/>
      <c r="Y739" s="146"/>
      <c r="Z739" s="146"/>
      <c r="AA739" s="146"/>
    </row>
    <row r="740" spans="1:27" ht="15.75" customHeight="1" x14ac:dyDescent="0.25">
      <c r="A740" s="146"/>
      <c r="B740" s="146"/>
      <c r="C740" s="146"/>
      <c r="D740" s="146"/>
      <c r="E740" s="146"/>
      <c r="F740" s="146"/>
      <c r="G740" s="146"/>
      <c r="H740" s="146"/>
      <c r="I740" s="146"/>
      <c r="J740" s="146"/>
      <c r="K740" s="146"/>
      <c r="L740" s="146"/>
      <c r="M740" s="146"/>
      <c r="N740" s="146"/>
      <c r="O740" s="146"/>
      <c r="P740" s="146"/>
      <c r="Q740" s="146"/>
      <c r="R740" s="146"/>
      <c r="S740" s="146"/>
      <c r="T740" s="146"/>
      <c r="U740" s="146"/>
      <c r="V740" s="146"/>
      <c r="W740" s="146"/>
      <c r="X740" s="146"/>
      <c r="Y740" s="146"/>
      <c r="Z740" s="146"/>
      <c r="AA740" s="146"/>
    </row>
    <row r="741" spans="1:27" ht="15.75" customHeight="1" x14ac:dyDescent="0.25">
      <c r="A741" s="146"/>
      <c r="B741" s="146"/>
      <c r="C741" s="146"/>
      <c r="D741" s="146"/>
      <c r="E741" s="146"/>
      <c r="F741" s="146"/>
      <c r="G741" s="146"/>
      <c r="H741" s="146"/>
      <c r="I741" s="146"/>
      <c r="J741" s="146"/>
      <c r="K741" s="146"/>
      <c r="L741" s="146"/>
      <c r="M741" s="146"/>
      <c r="N741" s="146"/>
      <c r="O741" s="146"/>
      <c r="P741" s="146"/>
      <c r="Q741" s="146"/>
      <c r="R741" s="146"/>
      <c r="S741" s="146"/>
      <c r="T741" s="146"/>
      <c r="U741" s="146"/>
      <c r="V741" s="146"/>
      <c r="W741" s="146"/>
      <c r="X741" s="146"/>
      <c r="Y741" s="146"/>
      <c r="Z741" s="146"/>
      <c r="AA741" s="146"/>
    </row>
    <row r="742" spans="1:27" ht="15.75" customHeight="1" x14ac:dyDescent="0.25">
      <c r="A742" s="146"/>
      <c r="B742" s="146"/>
      <c r="C742" s="146"/>
      <c r="D742" s="146"/>
      <c r="E742" s="146"/>
      <c r="F742" s="146"/>
      <c r="G742" s="146"/>
      <c r="H742" s="146"/>
      <c r="I742" s="146"/>
      <c r="J742" s="146"/>
      <c r="K742" s="146"/>
      <c r="L742" s="146"/>
      <c r="M742" s="146"/>
      <c r="N742" s="146"/>
      <c r="O742" s="146"/>
      <c r="P742" s="146"/>
      <c r="Q742" s="146"/>
      <c r="R742" s="146"/>
      <c r="S742" s="146"/>
      <c r="T742" s="146"/>
      <c r="U742" s="146"/>
      <c r="V742" s="146"/>
      <c r="W742" s="146"/>
      <c r="X742" s="146"/>
      <c r="Y742" s="146"/>
      <c r="Z742" s="146"/>
      <c r="AA742" s="146"/>
    </row>
    <row r="743" spans="1:27" ht="15.75" customHeight="1" x14ac:dyDescent="0.25">
      <c r="A743" s="146"/>
      <c r="B743" s="146"/>
      <c r="C743" s="146"/>
      <c r="D743" s="146"/>
      <c r="E743" s="146"/>
      <c r="F743" s="146"/>
      <c r="G743" s="146"/>
      <c r="H743" s="146"/>
      <c r="I743" s="146"/>
      <c r="J743" s="146"/>
      <c r="K743" s="146"/>
      <c r="L743" s="146"/>
      <c r="M743" s="146"/>
      <c r="N743" s="146"/>
      <c r="O743" s="146"/>
      <c r="P743" s="146"/>
      <c r="Q743" s="146"/>
      <c r="R743" s="146"/>
      <c r="S743" s="146"/>
      <c r="T743" s="146"/>
      <c r="U743" s="146"/>
      <c r="V743" s="146"/>
      <c r="W743" s="146"/>
      <c r="X743" s="146"/>
      <c r="Y743" s="146"/>
      <c r="Z743" s="146"/>
      <c r="AA743" s="146"/>
    </row>
    <row r="744" spans="1:27" ht="15.75" customHeight="1" x14ac:dyDescent="0.25">
      <c r="A744" s="146"/>
      <c r="B744" s="146"/>
      <c r="C744" s="146"/>
      <c r="D744" s="146"/>
      <c r="E744" s="146"/>
      <c r="F744" s="146"/>
      <c r="G744" s="146"/>
      <c r="H744" s="146"/>
      <c r="I744" s="146"/>
      <c r="J744" s="146"/>
      <c r="K744" s="146"/>
      <c r="L744" s="146"/>
      <c r="M744" s="146"/>
      <c r="N744" s="146"/>
      <c r="O744" s="146"/>
      <c r="P744" s="146"/>
      <c r="Q744" s="146"/>
      <c r="R744" s="146"/>
      <c r="S744" s="146"/>
      <c r="T744" s="146"/>
      <c r="U744" s="146"/>
      <c r="V744" s="146"/>
      <c r="W744" s="146"/>
      <c r="X744" s="146"/>
      <c r="Y744" s="146"/>
      <c r="Z744" s="146"/>
      <c r="AA744" s="146"/>
    </row>
    <row r="745" spans="1:27" ht="15.75" customHeight="1" x14ac:dyDescent="0.25">
      <c r="A745" s="146"/>
      <c r="B745" s="146"/>
      <c r="C745" s="146"/>
      <c r="D745" s="146"/>
      <c r="E745" s="146"/>
      <c r="F745" s="146"/>
      <c r="G745" s="146"/>
      <c r="H745" s="146"/>
      <c r="I745" s="146"/>
      <c r="J745" s="146"/>
      <c r="K745" s="146"/>
      <c r="L745" s="146"/>
      <c r="M745" s="146"/>
      <c r="N745" s="146"/>
      <c r="O745" s="146"/>
      <c r="P745" s="146"/>
      <c r="Q745" s="146"/>
      <c r="R745" s="146"/>
      <c r="S745" s="146"/>
      <c r="T745" s="146"/>
      <c r="U745" s="146"/>
      <c r="V745" s="146"/>
      <c r="W745" s="146"/>
      <c r="X745" s="146"/>
      <c r="Y745" s="146"/>
      <c r="Z745" s="146"/>
      <c r="AA745" s="146"/>
    </row>
    <row r="746" spans="1:27" ht="15.75" customHeight="1" x14ac:dyDescent="0.25">
      <c r="A746" s="146"/>
      <c r="B746" s="146"/>
      <c r="C746" s="146"/>
      <c r="D746" s="146"/>
      <c r="E746" s="146"/>
      <c r="F746" s="146"/>
      <c r="G746" s="146"/>
      <c r="H746" s="146"/>
      <c r="I746" s="146"/>
      <c r="J746" s="146"/>
      <c r="K746" s="146"/>
      <c r="L746" s="146"/>
      <c r="M746" s="146"/>
      <c r="N746" s="146"/>
      <c r="O746" s="146"/>
      <c r="P746" s="146"/>
      <c r="Q746" s="146"/>
      <c r="R746" s="146"/>
      <c r="S746" s="146"/>
      <c r="T746" s="146"/>
      <c r="U746" s="146"/>
      <c r="V746" s="146"/>
      <c r="W746" s="146"/>
      <c r="X746" s="146"/>
      <c r="Y746" s="146"/>
      <c r="Z746" s="146"/>
      <c r="AA746" s="146"/>
    </row>
    <row r="747" spans="1:27" ht="15.75" customHeight="1" x14ac:dyDescent="0.25">
      <c r="A747" s="146"/>
      <c r="B747" s="146"/>
      <c r="C747" s="146"/>
      <c r="D747" s="146"/>
      <c r="E747" s="146"/>
      <c r="F747" s="146"/>
      <c r="G747" s="146"/>
      <c r="H747" s="146"/>
      <c r="I747" s="146"/>
      <c r="J747" s="146"/>
      <c r="K747" s="146"/>
      <c r="L747" s="146"/>
      <c r="M747" s="146"/>
      <c r="N747" s="146"/>
      <c r="O747" s="146"/>
      <c r="P747" s="146"/>
      <c r="Q747" s="146"/>
      <c r="R747" s="146"/>
      <c r="S747" s="146"/>
      <c r="T747" s="146"/>
      <c r="U747" s="146"/>
      <c r="V747" s="146"/>
      <c r="W747" s="146"/>
      <c r="X747" s="146"/>
      <c r="Y747" s="146"/>
      <c r="Z747" s="146"/>
      <c r="AA747" s="146"/>
    </row>
    <row r="748" spans="1:27" ht="15.75" customHeight="1" x14ac:dyDescent="0.25">
      <c r="A748" s="146"/>
      <c r="B748" s="146"/>
      <c r="C748" s="146"/>
      <c r="D748" s="146"/>
      <c r="E748" s="146"/>
      <c r="F748" s="146"/>
      <c r="G748" s="146"/>
      <c r="H748" s="146"/>
      <c r="I748" s="146"/>
      <c r="J748" s="146"/>
      <c r="K748" s="146"/>
      <c r="L748" s="146"/>
      <c r="M748" s="146"/>
      <c r="N748" s="146"/>
      <c r="O748" s="146"/>
      <c r="P748" s="146"/>
      <c r="Q748" s="146"/>
      <c r="R748" s="146"/>
      <c r="S748" s="146"/>
      <c r="T748" s="146"/>
      <c r="U748" s="146"/>
      <c r="V748" s="146"/>
      <c r="W748" s="146"/>
      <c r="X748" s="146"/>
      <c r="Y748" s="146"/>
      <c r="Z748" s="146"/>
      <c r="AA748" s="146"/>
    </row>
    <row r="749" spans="1:27" ht="15.75" customHeight="1" x14ac:dyDescent="0.25">
      <c r="A749" s="146"/>
      <c r="B749" s="146"/>
      <c r="C749" s="146"/>
      <c r="D749" s="146"/>
      <c r="E749" s="146"/>
      <c r="F749" s="146"/>
      <c r="G749" s="146"/>
      <c r="H749" s="146"/>
      <c r="I749" s="146"/>
      <c r="J749" s="146"/>
      <c r="K749" s="146"/>
      <c r="L749" s="146"/>
      <c r="M749" s="146"/>
      <c r="N749" s="146"/>
      <c r="O749" s="146"/>
      <c r="P749" s="146"/>
      <c r="Q749" s="146"/>
      <c r="R749" s="146"/>
      <c r="S749" s="146"/>
      <c r="T749" s="146"/>
      <c r="U749" s="146"/>
      <c r="V749" s="146"/>
      <c r="W749" s="146"/>
      <c r="X749" s="146"/>
      <c r="Y749" s="146"/>
      <c r="Z749" s="146"/>
      <c r="AA749" s="146"/>
    </row>
    <row r="750" spans="1:27" ht="15.75" customHeight="1" x14ac:dyDescent="0.25">
      <c r="A750" s="146"/>
      <c r="B750" s="146"/>
      <c r="C750" s="146"/>
      <c r="D750" s="146"/>
      <c r="E750" s="146"/>
      <c r="F750" s="146"/>
      <c r="G750" s="146"/>
      <c r="H750" s="146"/>
      <c r="I750" s="146"/>
      <c r="J750" s="146"/>
      <c r="K750" s="146"/>
      <c r="L750" s="146"/>
      <c r="M750" s="146"/>
      <c r="N750" s="146"/>
      <c r="O750" s="146"/>
      <c r="P750" s="146"/>
      <c r="Q750" s="146"/>
      <c r="R750" s="146"/>
      <c r="S750" s="146"/>
      <c r="T750" s="146"/>
      <c r="U750" s="146"/>
      <c r="V750" s="146"/>
      <c r="W750" s="146"/>
      <c r="X750" s="146"/>
      <c r="Y750" s="146"/>
      <c r="Z750" s="146"/>
      <c r="AA750" s="146"/>
    </row>
    <row r="751" spans="1:27" ht="15.75" customHeight="1" x14ac:dyDescent="0.25">
      <c r="A751" s="146"/>
      <c r="B751" s="146"/>
      <c r="C751" s="146"/>
      <c r="D751" s="146"/>
      <c r="E751" s="146"/>
      <c r="F751" s="146"/>
      <c r="G751" s="146"/>
      <c r="H751" s="146"/>
      <c r="I751" s="146"/>
      <c r="J751" s="146"/>
      <c r="K751" s="146"/>
      <c r="L751" s="146"/>
      <c r="M751" s="146"/>
      <c r="N751" s="146"/>
      <c r="O751" s="146"/>
      <c r="P751" s="146"/>
      <c r="Q751" s="146"/>
      <c r="R751" s="146"/>
      <c r="S751" s="146"/>
      <c r="T751" s="146"/>
      <c r="U751" s="146"/>
      <c r="V751" s="146"/>
      <c r="W751" s="146"/>
      <c r="X751" s="146"/>
      <c r="Y751" s="146"/>
      <c r="Z751" s="146"/>
      <c r="AA751" s="146"/>
    </row>
    <row r="752" spans="1:27" ht="15.75" customHeight="1" x14ac:dyDescent="0.25">
      <c r="A752" s="146"/>
      <c r="B752" s="146"/>
      <c r="C752" s="146"/>
      <c r="D752" s="146"/>
      <c r="E752" s="146"/>
      <c r="F752" s="146"/>
      <c r="G752" s="146"/>
      <c r="H752" s="146"/>
      <c r="I752" s="146"/>
      <c r="J752" s="146"/>
      <c r="K752" s="146"/>
      <c r="L752" s="146"/>
      <c r="M752" s="146"/>
      <c r="N752" s="146"/>
      <c r="O752" s="146"/>
      <c r="P752" s="146"/>
      <c r="Q752" s="146"/>
      <c r="R752" s="146"/>
      <c r="S752" s="146"/>
      <c r="T752" s="146"/>
      <c r="U752" s="146"/>
      <c r="V752" s="146"/>
      <c r="W752" s="146"/>
      <c r="X752" s="146"/>
      <c r="Y752" s="146"/>
      <c r="Z752" s="146"/>
      <c r="AA752" s="146"/>
    </row>
    <row r="753" spans="1:27" ht="15.75" customHeight="1" x14ac:dyDescent="0.25">
      <c r="A753" s="146"/>
      <c r="B753" s="146"/>
      <c r="C753" s="146"/>
      <c r="D753" s="146"/>
      <c r="E753" s="146"/>
      <c r="F753" s="146"/>
      <c r="G753" s="146"/>
      <c r="H753" s="146"/>
      <c r="I753" s="146"/>
      <c r="J753" s="146"/>
      <c r="K753" s="146"/>
      <c r="L753" s="146"/>
      <c r="M753" s="146"/>
      <c r="N753" s="146"/>
      <c r="O753" s="146"/>
      <c r="P753" s="146"/>
      <c r="Q753" s="146"/>
      <c r="R753" s="146"/>
      <c r="S753" s="146"/>
      <c r="T753" s="146"/>
      <c r="U753" s="146"/>
      <c r="V753" s="146"/>
      <c r="W753" s="146"/>
      <c r="X753" s="146"/>
      <c r="Y753" s="146"/>
      <c r="Z753" s="146"/>
      <c r="AA753" s="146"/>
    </row>
    <row r="754" spans="1:27" ht="15.75" customHeight="1" x14ac:dyDescent="0.25">
      <c r="A754" s="146"/>
      <c r="B754" s="146"/>
      <c r="C754" s="146"/>
      <c r="D754" s="146"/>
      <c r="E754" s="146"/>
      <c r="F754" s="146"/>
      <c r="G754" s="146"/>
      <c r="H754" s="146"/>
      <c r="I754" s="146"/>
      <c r="J754" s="146"/>
      <c r="K754" s="146"/>
      <c r="L754" s="146"/>
      <c r="M754" s="146"/>
      <c r="N754" s="146"/>
      <c r="O754" s="146"/>
      <c r="P754" s="146"/>
      <c r="Q754" s="146"/>
      <c r="R754" s="146"/>
      <c r="S754" s="146"/>
      <c r="T754" s="146"/>
      <c r="U754" s="146"/>
      <c r="V754" s="146"/>
      <c r="W754" s="146"/>
      <c r="X754" s="146"/>
      <c r="Y754" s="146"/>
      <c r="Z754" s="146"/>
      <c r="AA754" s="146"/>
    </row>
    <row r="755" spans="1:27" ht="15.75" customHeight="1" x14ac:dyDescent="0.25">
      <c r="A755" s="146"/>
      <c r="B755" s="146"/>
      <c r="C755" s="146"/>
      <c r="D755" s="146"/>
      <c r="E755" s="146"/>
      <c r="F755" s="146"/>
      <c r="G755" s="146"/>
      <c r="H755" s="146"/>
      <c r="I755" s="146"/>
      <c r="J755" s="146"/>
      <c r="K755" s="146"/>
      <c r="L755" s="146"/>
      <c r="M755" s="146"/>
      <c r="N755" s="146"/>
      <c r="O755" s="146"/>
      <c r="P755" s="146"/>
      <c r="Q755" s="146"/>
      <c r="R755" s="146"/>
      <c r="S755" s="146"/>
      <c r="T755" s="146"/>
      <c r="U755" s="146"/>
      <c r="V755" s="146"/>
      <c r="W755" s="146"/>
      <c r="X755" s="146"/>
      <c r="Y755" s="146"/>
      <c r="Z755" s="146"/>
      <c r="AA755" s="146"/>
    </row>
    <row r="756" spans="1:27" ht="15.75" customHeight="1" x14ac:dyDescent="0.25">
      <c r="A756" s="146"/>
      <c r="B756" s="146"/>
      <c r="C756" s="146"/>
      <c r="D756" s="146"/>
      <c r="E756" s="146"/>
      <c r="F756" s="146"/>
      <c r="G756" s="146"/>
      <c r="H756" s="146"/>
      <c r="I756" s="146"/>
      <c r="J756" s="146"/>
      <c r="K756" s="146"/>
      <c r="L756" s="146"/>
      <c r="M756" s="146"/>
      <c r="N756" s="146"/>
      <c r="O756" s="146"/>
      <c r="P756" s="146"/>
      <c r="Q756" s="146"/>
      <c r="R756" s="146"/>
      <c r="S756" s="146"/>
      <c r="T756" s="146"/>
      <c r="U756" s="146"/>
      <c r="V756" s="146"/>
      <c r="W756" s="146"/>
      <c r="X756" s="146"/>
      <c r="Y756" s="146"/>
      <c r="Z756" s="146"/>
      <c r="AA756" s="146"/>
    </row>
    <row r="757" spans="1:27" ht="15.75" customHeight="1" x14ac:dyDescent="0.25">
      <c r="A757" s="146"/>
      <c r="B757" s="146"/>
      <c r="C757" s="146"/>
      <c r="D757" s="146"/>
      <c r="E757" s="146"/>
      <c r="F757" s="146"/>
      <c r="G757" s="146"/>
      <c r="H757" s="146"/>
      <c r="I757" s="146"/>
      <c r="J757" s="146"/>
      <c r="K757" s="146"/>
      <c r="L757" s="146"/>
      <c r="M757" s="146"/>
      <c r="N757" s="146"/>
      <c r="O757" s="146"/>
      <c r="P757" s="146"/>
      <c r="Q757" s="146"/>
      <c r="R757" s="146"/>
      <c r="S757" s="146"/>
      <c r="T757" s="146"/>
      <c r="U757" s="146"/>
      <c r="V757" s="146"/>
      <c r="W757" s="146"/>
      <c r="X757" s="146"/>
      <c r="Y757" s="146"/>
      <c r="Z757" s="146"/>
      <c r="AA757" s="146"/>
    </row>
    <row r="758" spans="1:27" ht="15.75" customHeight="1" x14ac:dyDescent="0.25">
      <c r="A758" s="146"/>
      <c r="B758" s="146"/>
      <c r="C758" s="146"/>
      <c r="D758" s="146"/>
      <c r="E758" s="146"/>
      <c r="F758" s="146"/>
      <c r="G758" s="146"/>
      <c r="H758" s="146"/>
      <c r="I758" s="146"/>
      <c r="J758" s="146"/>
      <c r="K758" s="146"/>
      <c r="L758" s="146"/>
      <c r="M758" s="146"/>
      <c r="N758" s="146"/>
      <c r="O758" s="146"/>
      <c r="P758" s="146"/>
      <c r="Q758" s="146"/>
      <c r="R758" s="146"/>
      <c r="S758" s="146"/>
      <c r="T758" s="146"/>
      <c r="U758" s="146"/>
      <c r="V758" s="146"/>
      <c r="W758" s="146"/>
      <c r="X758" s="146"/>
      <c r="Y758" s="146"/>
      <c r="Z758" s="146"/>
      <c r="AA758" s="146"/>
    </row>
    <row r="759" spans="1:27" ht="15.75" customHeight="1" x14ac:dyDescent="0.25">
      <c r="A759" s="146"/>
      <c r="B759" s="146"/>
      <c r="C759" s="146"/>
      <c r="D759" s="146"/>
      <c r="E759" s="146"/>
      <c r="F759" s="146"/>
      <c r="G759" s="146"/>
      <c r="H759" s="146"/>
      <c r="I759" s="146"/>
      <c r="J759" s="146"/>
      <c r="K759" s="146"/>
      <c r="L759" s="146"/>
      <c r="M759" s="146"/>
      <c r="N759" s="146"/>
      <c r="O759" s="146"/>
      <c r="P759" s="146"/>
      <c r="Q759" s="146"/>
      <c r="R759" s="146"/>
      <c r="S759" s="146"/>
      <c r="T759" s="146"/>
      <c r="U759" s="146"/>
      <c r="V759" s="146"/>
      <c r="W759" s="146"/>
      <c r="X759" s="146"/>
      <c r="Y759" s="146"/>
      <c r="Z759" s="146"/>
      <c r="AA759" s="146"/>
    </row>
    <row r="760" spans="1:27" ht="15.75" customHeight="1" x14ac:dyDescent="0.25">
      <c r="A760" s="146"/>
      <c r="B760" s="146"/>
      <c r="C760" s="146"/>
      <c r="D760" s="146"/>
      <c r="E760" s="146"/>
      <c r="F760" s="146"/>
      <c r="G760" s="146"/>
      <c r="H760" s="146"/>
      <c r="I760" s="146"/>
      <c r="J760" s="146"/>
      <c r="K760" s="146"/>
      <c r="L760" s="146"/>
      <c r="M760" s="146"/>
      <c r="N760" s="146"/>
      <c r="O760" s="146"/>
      <c r="P760" s="146"/>
      <c r="Q760" s="146"/>
      <c r="R760" s="146"/>
      <c r="S760" s="146"/>
      <c r="T760" s="146"/>
      <c r="U760" s="146"/>
      <c r="V760" s="146"/>
      <c r="W760" s="146"/>
      <c r="X760" s="146"/>
      <c r="Y760" s="146"/>
      <c r="Z760" s="146"/>
      <c r="AA760" s="146"/>
    </row>
    <row r="761" spans="1:27" ht="15.75" customHeight="1" x14ac:dyDescent="0.25">
      <c r="A761" s="146"/>
      <c r="B761" s="146"/>
      <c r="C761" s="146"/>
      <c r="D761" s="146"/>
      <c r="E761" s="146"/>
      <c r="F761" s="146"/>
      <c r="G761" s="146"/>
      <c r="H761" s="146"/>
      <c r="I761" s="146"/>
      <c r="J761" s="146"/>
      <c r="K761" s="146"/>
      <c r="L761" s="146"/>
      <c r="M761" s="146"/>
      <c r="N761" s="146"/>
      <c r="O761" s="146"/>
      <c r="P761" s="146"/>
      <c r="Q761" s="146"/>
      <c r="R761" s="146"/>
      <c r="S761" s="146"/>
      <c r="T761" s="146"/>
      <c r="U761" s="146"/>
      <c r="V761" s="146"/>
      <c r="W761" s="146"/>
      <c r="X761" s="146"/>
      <c r="Y761" s="146"/>
      <c r="Z761" s="146"/>
      <c r="AA761" s="146"/>
    </row>
    <row r="762" spans="1:27" ht="15.75" customHeight="1" x14ac:dyDescent="0.25">
      <c r="A762" s="146"/>
      <c r="B762" s="146"/>
      <c r="C762" s="146"/>
      <c r="D762" s="146"/>
      <c r="E762" s="146"/>
      <c r="F762" s="146"/>
      <c r="G762" s="146"/>
      <c r="H762" s="146"/>
      <c r="I762" s="146"/>
      <c r="J762" s="146"/>
      <c r="K762" s="146"/>
      <c r="L762" s="146"/>
      <c r="M762" s="146"/>
      <c r="N762" s="146"/>
      <c r="O762" s="146"/>
      <c r="P762" s="146"/>
      <c r="Q762" s="146"/>
      <c r="R762" s="146"/>
      <c r="S762" s="146"/>
      <c r="T762" s="146"/>
      <c r="U762" s="146"/>
      <c r="V762" s="146"/>
      <c r="W762" s="146"/>
      <c r="X762" s="146"/>
      <c r="Y762" s="146"/>
      <c r="Z762" s="146"/>
      <c r="AA762" s="146"/>
    </row>
    <row r="763" spans="1:27" ht="15.75" customHeight="1" x14ac:dyDescent="0.25">
      <c r="A763" s="146"/>
      <c r="B763" s="146"/>
      <c r="C763" s="146"/>
      <c r="D763" s="146"/>
      <c r="E763" s="146"/>
      <c r="F763" s="146"/>
      <c r="G763" s="146"/>
      <c r="H763" s="146"/>
      <c r="I763" s="146"/>
      <c r="J763" s="146"/>
      <c r="K763" s="146"/>
      <c r="L763" s="146"/>
      <c r="M763" s="146"/>
      <c r="N763" s="146"/>
      <c r="O763" s="146"/>
      <c r="P763" s="146"/>
      <c r="Q763" s="146"/>
      <c r="R763" s="146"/>
      <c r="S763" s="146"/>
      <c r="T763" s="146"/>
      <c r="U763" s="146"/>
      <c r="V763" s="146"/>
      <c r="W763" s="146"/>
      <c r="X763" s="146"/>
      <c r="Y763" s="146"/>
      <c r="Z763" s="146"/>
      <c r="AA763" s="146"/>
    </row>
    <row r="764" spans="1:27" ht="15.75" customHeight="1" x14ac:dyDescent="0.25">
      <c r="A764" s="146"/>
      <c r="B764" s="146"/>
      <c r="C764" s="146"/>
      <c r="D764" s="146"/>
      <c r="E764" s="146"/>
      <c r="F764" s="146"/>
      <c r="G764" s="146"/>
      <c r="H764" s="146"/>
      <c r="I764" s="146"/>
      <c r="J764" s="146"/>
      <c r="K764" s="146"/>
      <c r="L764" s="146"/>
      <c r="M764" s="146"/>
      <c r="N764" s="146"/>
      <c r="O764" s="146"/>
      <c r="P764" s="146"/>
      <c r="Q764" s="146"/>
      <c r="R764" s="146"/>
      <c r="S764" s="146"/>
      <c r="T764" s="146"/>
      <c r="U764" s="146"/>
      <c r="V764" s="146"/>
      <c r="W764" s="146"/>
      <c r="X764" s="146"/>
      <c r="Y764" s="146"/>
      <c r="Z764" s="146"/>
      <c r="AA764" s="146"/>
    </row>
    <row r="765" spans="1:27" ht="15.75" customHeight="1" x14ac:dyDescent="0.25">
      <c r="A765" s="146"/>
      <c r="B765" s="146"/>
      <c r="C765" s="146"/>
      <c r="D765" s="146"/>
      <c r="E765" s="146"/>
      <c r="F765" s="146"/>
      <c r="G765" s="146"/>
      <c r="H765" s="146"/>
      <c r="I765" s="146"/>
      <c r="J765" s="146"/>
      <c r="K765" s="146"/>
      <c r="L765" s="146"/>
      <c r="M765" s="146"/>
      <c r="N765" s="146"/>
      <c r="O765" s="146"/>
      <c r="P765" s="146"/>
      <c r="Q765" s="146"/>
      <c r="R765" s="146"/>
      <c r="S765" s="146"/>
      <c r="T765" s="146"/>
      <c r="U765" s="146"/>
      <c r="V765" s="146"/>
      <c r="W765" s="146"/>
      <c r="X765" s="146"/>
      <c r="Y765" s="146"/>
      <c r="Z765" s="146"/>
      <c r="AA765" s="146"/>
    </row>
    <row r="766" spans="1:27" ht="15.75" customHeight="1" x14ac:dyDescent="0.25">
      <c r="A766" s="146"/>
      <c r="B766" s="146"/>
      <c r="C766" s="146"/>
      <c r="D766" s="146"/>
      <c r="E766" s="146"/>
      <c r="F766" s="146"/>
      <c r="G766" s="146"/>
      <c r="H766" s="146"/>
      <c r="I766" s="146"/>
      <c r="J766" s="146"/>
      <c r="K766" s="146"/>
      <c r="L766" s="146"/>
      <c r="M766" s="146"/>
      <c r="N766" s="146"/>
      <c r="O766" s="146"/>
      <c r="P766" s="146"/>
      <c r="Q766" s="146"/>
      <c r="R766" s="146"/>
      <c r="S766" s="146"/>
      <c r="T766" s="146"/>
      <c r="U766" s="146"/>
      <c r="V766" s="146"/>
      <c r="W766" s="146"/>
      <c r="X766" s="146"/>
      <c r="Y766" s="146"/>
      <c r="Z766" s="146"/>
      <c r="AA766" s="146"/>
    </row>
    <row r="767" spans="1:27" ht="15.75" customHeight="1" x14ac:dyDescent="0.25">
      <c r="A767" s="146"/>
      <c r="B767" s="146"/>
      <c r="C767" s="146"/>
      <c r="D767" s="146"/>
      <c r="E767" s="146"/>
      <c r="F767" s="146"/>
      <c r="G767" s="146"/>
      <c r="H767" s="146"/>
      <c r="I767" s="146"/>
      <c r="J767" s="146"/>
      <c r="K767" s="146"/>
      <c r="L767" s="146"/>
      <c r="M767" s="146"/>
      <c r="N767" s="146"/>
      <c r="O767" s="146"/>
      <c r="P767" s="146"/>
      <c r="Q767" s="146"/>
      <c r="R767" s="146"/>
      <c r="S767" s="146"/>
      <c r="T767" s="146"/>
      <c r="U767" s="146"/>
      <c r="V767" s="146"/>
      <c r="W767" s="146"/>
      <c r="X767" s="146"/>
      <c r="Y767" s="146"/>
      <c r="Z767" s="146"/>
      <c r="AA767" s="146"/>
    </row>
    <row r="768" spans="1:27" ht="15.75" customHeight="1" x14ac:dyDescent="0.25">
      <c r="A768" s="146"/>
      <c r="B768" s="146"/>
      <c r="C768" s="146"/>
      <c r="D768" s="146"/>
      <c r="E768" s="146"/>
      <c r="F768" s="146"/>
      <c r="G768" s="146"/>
      <c r="H768" s="146"/>
      <c r="I768" s="146"/>
      <c r="J768" s="146"/>
      <c r="K768" s="146"/>
      <c r="L768" s="146"/>
      <c r="M768" s="146"/>
      <c r="N768" s="146"/>
      <c r="O768" s="146"/>
      <c r="P768" s="146"/>
      <c r="Q768" s="146"/>
      <c r="R768" s="146"/>
      <c r="S768" s="146"/>
      <c r="T768" s="146"/>
      <c r="U768" s="146"/>
      <c r="V768" s="146"/>
      <c r="W768" s="146"/>
      <c r="X768" s="146"/>
      <c r="Y768" s="146"/>
      <c r="Z768" s="146"/>
      <c r="AA768" s="146"/>
    </row>
    <row r="769" spans="1:27" ht="15.75" customHeight="1" x14ac:dyDescent="0.25">
      <c r="A769" s="146"/>
      <c r="B769" s="146"/>
      <c r="C769" s="146"/>
      <c r="D769" s="146"/>
      <c r="E769" s="146"/>
      <c r="F769" s="146"/>
      <c r="G769" s="146"/>
      <c r="H769" s="146"/>
      <c r="I769" s="146"/>
      <c r="J769" s="146"/>
      <c r="K769" s="146"/>
      <c r="L769" s="146"/>
      <c r="M769" s="146"/>
      <c r="N769" s="146"/>
      <c r="O769" s="146"/>
      <c r="P769" s="146"/>
      <c r="Q769" s="146"/>
      <c r="R769" s="146"/>
      <c r="S769" s="146"/>
      <c r="T769" s="146"/>
      <c r="U769" s="146"/>
      <c r="V769" s="146"/>
      <c r="W769" s="146"/>
      <c r="X769" s="146"/>
      <c r="Y769" s="146"/>
      <c r="Z769" s="146"/>
      <c r="AA769" s="146"/>
    </row>
    <row r="770" spans="1:27" ht="15.75" customHeight="1" x14ac:dyDescent="0.25">
      <c r="A770" s="146"/>
      <c r="B770" s="146"/>
      <c r="C770" s="146"/>
      <c r="D770" s="146"/>
      <c r="E770" s="146"/>
      <c r="F770" s="146"/>
      <c r="G770" s="146"/>
      <c r="H770" s="146"/>
      <c r="I770" s="146"/>
      <c r="J770" s="146"/>
      <c r="K770" s="146"/>
      <c r="L770" s="146"/>
      <c r="M770" s="146"/>
      <c r="N770" s="146"/>
      <c r="O770" s="146"/>
      <c r="P770" s="146"/>
      <c r="Q770" s="146"/>
      <c r="R770" s="146"/>
      <c r="S770" s="146"/>
      <c r="T770" s="146"/>
      <c r="U770" s="146"/>
      <c r="V770" s="146"/>
      <c r="W770" s="146"/>
      <c r="X770" s="146"/>
      <c r="Y770" s="146"/>
      <c r="Z770" s="146"/>
      <c r="AA770" s="146"/>
    </row>
    <row r="771" spans="1:27" ht="15.75" customHeight="1" x14ac:dyDescent="0.25">
      <c r="A771" s="146"/>
      <c r="B771" s="146"/>
      <c r="C771" s="146"/>
      <c r="D771" s="146"/>
      <c r="E771" s="146"/>
      <c r="F771" s="146"/>
      <c r="G771" s="146"/>
      <c r="H771" s="146"/>
      <c r="I771" s="146"/>
      <c r="J771" s="146"/>
      <c r="K771" s="146"/>
      <c r="L771" s="146"/>
      <c r="M771" s="146"/>
      <c r="N771" s="146"/>
      <c r="O771" s="146"/>
      <c r="P771" s="146"/>
      <c r="Q771" s="146"/>
      <c r="R771" s="146"/>
      <c r="S771" s="146"/>
      <c r="T771" s="146"/>
      <c r="U771" s="146"/>
      <c r="V771" s="146"/>
      <c r="W771" s="146"/>
      <c r="X771" s="146"/>
      <c r="Y771" s="146"/>
      <c r="Z771" s="146"/>
      <c r="AA771" s="146"/>
    </row>
    <row r="772" spans="1:27" ht="15.75" customHeight="1" x14ac:dyDescent="0.25">
      <c r="A772" s="146"/>
      <c r="B772" s="146"/>
      <c r="C772" s="146"/>
      <c r="D772" s="146"/>
      <c r="E772" s="146"/>
      <c r="F772" s="146"/>
      <c r="G772" s="146"/>
      <c r="H772" s="146"/>
      <c r="I772" s="146"/>
      <c r="J772" s="146"/>
      <c r="K772" s="146"/>
      <c r="L772" s="146"/>
      <c r="M772" s="146"/>
      <c r="N772" s="146"/>
      <c r="O772" s="146"/>
      <c r="P772" s="146"/>
      <c r="Q772" s="146"/>
      <c r="R772" s="146"/>
      <c r="S772" s="146"/>
      <c r="T772" s="146"/>
      <c r="U772" s="146"/>
      <c r="V772" s="146"/>
      <c r="W772" s="146"/>
      <c r="X772" s="146"/>
      <c r="Y772" s="146"/>
      <c r="Z772" s="146"/>
      <c r="AA772" s="146"/>
    </row>
    <row r="773" spans="1:27" ht="15.75" customHeight="1" x14ac:dyDescent="0.25">
      <c r="A773" s="146"/>
      <c r="B773" s="146"/>
      <c r="C773" s="146"/>
      <c r="D773" s="146"/>
      <c r="E773" s="146"/>
      <c r="F773" s="146"/>
      <c r="G773" s="146"/>
      <c r="H773" s="146"/>
      <c r="I773" s="146"/>
      <c r="J773" s="146"/>
      <c r="K773" s="146"/>
      <c r="L773" s="146"/>
      <c r="M773" s="146"/>
      <c r="N773" s="146"/>
      <c r="O773" s="146"/>
      <c r="P773" s="146"/>
      <c r="Q773" s="146"/>
      <c r="R773" s="146"/>
      <c r="S773" s="146"/>
      <c r="T773" s="146"/>
      <c r="U773" s="146"/>
      <c r="V773" s="146"/>
      <c r="W773" s="146"/>
      <c r="X773" s="146"/>
      <c r="Y773" s="146"/>
      <c r="Z773" s="146"/>
      <c r="AA773" s="146"/>
    </row>
    <row r="774" spans="1:27" ht="15.75" customHeight="1" x14ac:dyDescent="0.25">
      <c r="A774" s="146"/>
      <c r="B774" s="146"/>
      <c r="C774" s="146"/>
      <c r="D774" s="146"/>
      <c r="E774" s="146"/>
      <c r="F774" s="146"/>
      <c r="G774" s="146"/>
      <c r="H774" s="146"/>
      <c r="I774" s="146"/>
      <c r="J774" s="146"/>
      <c r="K774" s="146"/>
      <c r="L774" s="146"/>
      <c r="M774" s="146"/>
      <c r="N774" s="146"/>
      <c r="O774" s="146"/>
      <c r="P774" s="146"/>
      <c r="Q774" s="146"/>
      <c r="R774" s="146"/>
      <c r="S774" s="146"/>
      <c r="T774" s="146"/>
      <c r="U774" s="146"/>
      <c r="V774" s="146"/>
      <c r="W774" s="146"/>
      <c r="X774" s="146"/>
      <c r="Y774" s="146"/>
      <c r="Z774" s="146"/>
      <c r="AA774" s="146"/>
    </row>
    <row r="775" spans="1:27" ht="15.75" customHeight="1" x14ac:dyDescent="0.25">
      <c r="A775" s="146"/>
      <c r="B775" s="146"/>
      <c r="C775" s="146"/>
      <c r="D775" s="146"/>
      <c r="E775" s="146"/>
      <c r="F775" s="146"/>
      <c r="G775" s="146"/>
      <c r="H775" s="146"/>
      <c r="I775" s="146"/>
      <c r="J775" s="146"/>
      <c r="K775" s="146"/>
      <c r="L775" s="146"/>
      <c r="M775" s="146"/>
      <c r="N775" s="146"/>
      <c r="O775" s="146"/>
      <c r="P775" s="146"/>
      <c r="Q775" s="146"/>
      <c r="R775" s="146"/>
      <c r="S775" s="146"/>
      <c r="T775" s="146"/>
      <c r="U775" s="146"/>
      <c r="V775" s="146"/>
      <c r="W775" s="146"/>
      <c r="X775" s="146"/>
      <c r="Y775" s="146"/>
      <c r="Z775" s="146"/>
      <c r="AA775" s="146"/>
    </row>
    <row r="776" spans="1:27" ht="15.75" customHeight="1" x14ac:dyDescent="0.25">
      <c r="A776" s="146"/>
      <c r="B776" s="146"/>
      <c r="C776" s="146"/>
      <c r="D776" s="146"/>
      <c r="E776" s="146"/>
      <c r="F776" s="146"/>
      <c r="G776" s="146"/>
      <c r="H776" s="146"/>
      <c r="I776" s="146"/>
      <c r="J776" s="146"/>
      <c r="K776" s="146"/>
      <c r="L776" s="146"/>
      <c r="M776" s="146"/>
      <c r="N776" s="146"/>
      <c r="O776" s="146"/>
      <c r="P776" s="146"/>
      <c r="Q776" s="146"/>
      <c r="R776" s="146"/>
      <c r="S776" s="146"/>
      <c r="T776" s="146"/>
      <c r="U776" s="146"/>
      <c r="V776" s="146"/>
      <c r="W776" s="146"/>
      <c r="X776" s="146"/>
      <c r="Y776" s="146"/>
      <c r="Z776" s="146"/>
      <c r="AA776" s="146"/>
    </row>
    <row r="777" spans="1:27" ht="15.75" customHeight="1" x14ac:dyDescent="0.25">
      <c r="A777" s="146"/>
      <c r="B777" s="146"/>
      <c r="C777" s="146"/>
      <c r="D777" s="146"/>
      <c r="E777" s="146"/>
      <c r="F777" s="146"/>
      <c r="G777" s="146"/>
      <c r="H777" s="146"/>
      <c r="I777" s="146"/>
      <c r="J777" s="146"/>
      <c r="K777" s="146"/>
      <c r="L777" s="146"/>
      <c r="M777" s="146"/>
      <c r="N777" s="146"/>
      <c r="O777" s="146"/>
      <c r="P777" s="146"/>
      <c r="Q777" s="146"/>
      <c r="R777" s="146"/>
      <c r="S777" s="146"/>
      <c r="T777" s="146"/>
      <c r="U777" s="146"/>
      <c r="V777" s="146"/>
      <c r="W777" s="146"/>
      <c r="X777" s="146"/>
      <c r="Y777" s="146"/>
      <c r="Z777" s="146"/>
      <c r="AA777" s="146"/>
    </row>
    <row r="778" spans="1:27" ht="15.75" customHeight="1" x14ac:dyDescent="0.25">
      <c r="A778" s="146"/>
      <c r="B778" s="146"/>
      <c r="C778" s="146"/>
      <c r="D778" s="146"/>
      <c r="E778" s="146"/>
      <c r="F778" s="146"/>
      <c r="G778" s="146"/>
      <c r="H778" s="146"/>
      <c r="I778" s="146"/>
      <c r="J778" s="146"/>
      <c r="K778" s="146"/>
      <c r="L778" s="146"/>
      <c r="M778" s="146"/>
      <c r="N778" s="146"/>
      <c r="O778" s="146"/>
      <c r="P778" s="146"/>
      <c r="Q778" s="146"/>
      <c r="R778" s="146"/>
      <c r="S778" s="146"/>
      <c r="T778" s="146"/>
      <c r="U778" s="146"/>
      <c r="V778" s="146"/>
      <c r="W778" s="146"/>
      <c r="X778" s="146"/>
      <c r="Y778" s="146"/>
      <c r="Z778" s="146"/>
      <c r="AA778" s="146"/>
    </row>
    <row r="779" spans="1:27" ht="15.75" customHeight="1" x14ac:dyDescent="0.25">
      <c r="A779" s="146"/>
      <c r="B779" s="146"/>
      <c r="C779" s="146"/>
      <c r="D779" s="146"/>
      <c r="E779" s="146"/>
      <c r="F779" s="146"/>
      <c r="G779" s="146"/>
      <c r="H779" s="146"/>
      <c r="I779" s="146"/>
      <c r="J779" s="146"/>
      <c r="K779" s="146"/>
      <c r="L779" s="146"/>
      <c r="M779" s="146"/>
      <c r="N779" s="146"/>
      <c r="O779" s="146"/>
      <c r="P779" s="146"/>
      <c r="Q779" s="146"/>
      <c r="R779" s="146"/>
      <c r="S779" s="146"/>
      <c r="T779" s="146"/>
      <c r="U779" s="146"/>
      <c r="V779" s="146"/>
      <c r="W779" s="146"/>
      <c r="X779" s="146"/>
      <c r="Y779" s="146"/>
      <c r="Z779" s="146"/>
      <c r="AA779" s="146"/>
    </row>
    <row r="780" spans="1:27" ht="15.75" customHeight="1" x14ac:dyDescent="0.25">
      <c r="A780" s="146"/>
      <c r="B780" s="146"/>
      <c r="C780" s="146"/>
      <c r="D780" s="146"/>
      <c r="E780" s="146"/>
      <c r="F780" s="146"/>
      <c r="G780" s="146"/>
      <c r="H780" s="146"/>
      <c r="I780" s="146"/>
      <c r="J780" s="146"/>
      <c r="K780" s="146"/>
      <c r="L780" s="146"/>
      <c r="M780" s="146"/>
      <c r="N780" s="146"/>
      <c r="O780" s="146"/>
      <c r="P780" s="146"/>
      <c r="Q780" s="146"/>
      <c r="R780" s="146"/>
      <c r="S780" s="146"/>
      <c r="T780" s="146"/>
      <c r="U780" s="146"/>
      <c r="V780" s="146"/>
      <c r="W780" s="146"/>
      <c r="X780" s="146"/>
      <c r="Y780" s="146"/>
      <c r="Z780" s="146"/>
      <c r="AA780" s="146"/>
    </row>
    <row r="781" spans="1:27" ht="15.75" customHeight="1" x14ac:dyDescent="0.25">
      <c r="A781" s="146"/>
      <c r="B781" s="146"/>
      <c r="C781" s="146"/>
      <c r="D781" s="146"/>
      <c r="E781" s="146"/>
      <c r="F781" s="146"/>
      <c r="G781" s="146"/>
      <c r="H781" s="146"/>
      <c r="I781" s="146"/>
      <c r="J781" s="146"/>
      <c r="K781" s="146"/>
      <c r="L781" s="146"/>
      <c r="M781" s="146"/>
      <c r="N781" s="146"/>
      <c r="O781" s="146"/>
      <c r="P781" s="146"/>
      <c r="Q781" s="146"/>
      <c r="R781" s="146"/>
      <c r="S781" s="146"/>
      <c r="T781" s="146"/>
      <c r="U781" s="146"/>
      <c r="V781" s="146"/>
      <c r="W781" s="146"/>
      <c r="X781" s="146"/>
      <c r="Y781" s="146"/>
      <c r="Z781" s="146"/>
      <c r="AA781" s="146"/>
    </row>
    <row r="782" spans="1:27" ht="15.75" customHeight="1" x14ac:dyDescent="0.25">
      <c r="A782" s="146"/>
      <c r="B782" s="146"/>
      <c r="C782" s="146"/>
      <c r="D782" s="146"/>
      <c r="E782" s="146"/>
      <c r="F782" s="146"/>
      <c r="G782" s="146"/>
      <c r="H782" s="146"/>
      <c r="I782" s="146"/>
      <c r="J782" s="146"/>
      <c r="K782" s="146"/>
      <c r="L782" s="146"/>
      <c r="M782" s="146"/>
      <c r="N782" s="146"/>
      <c r="O782" s="146"/>
      <c r="P782" s="146"/>
      <c r="Q782" s="146"/>
      <c r="R782" s="146"/>
      <c r="S782" s="146"/>
      <c r="T782" s="146"/>
      <c r="U782" s="146"/>
      <c r="V782" s="146"/>
      <c r="W782" s="146"/>
      <c r="X782" s="146"/>
      <c r="Y782" s="146"/>
      <c r="Z782" s="146"/>
      <c r="AA782" s="146"/>
    </row>
    <row r="783" spans="1:27" ht="15.75" customHeight="1" x14ac:dyDescent="0.25">
      <c r="A783" s="146"/>
      <c r="B783" s="146"/>
      <c r="C783" s="146"/>
      <c r="D783" s="146"/>
      <c r="E783" s="146"/>
      <c r="F783" s="146"/>
      <c r="G783" s="146"/>
      <c r="H783" s="146"/>
      <c r="I783" s="146"/>
      <c r="J783" s="146"/>
      <c r="K783" s="146"/>
      <c r="L783" s="146"/>
      <c r="M783" s="146"/>
      <c r="N783" s="146"/>
      <c r="O783" s="146"/>
      <c r="P783" s="146"/>
      <c r="Q783" s="146"/>
      <c r="R783" s="146"/>
      <c r="S783" s="146"/>
      <c r="T783" s="146"/>
      <c r="U783" s="146"/>
      <c r="V783" s="146"/>
      <c r="W783" s="146"/>
      <c r="X783" s="146"/>
      <c r="Y783" s="146"/>
      <c r="Z783" s="146"/>
      <c r="AA783" s="146"/>
    </row>
    <row r="784" spans="1:27" ht="15.75" customHeight="1" x14ac:dyDescent="0.25">
      <c r="A784" s="146"/>
      <c r="B784" s="146"/>
      <c r="C784" s="146"/>
      <c r="D784" s="146"/>
      <c r="E784" s="146"/>
      <c r="F784" s="146"/>
      <c r="G784" s="146"/>
      <c r="H784" s="146"/>
      <c r="I784" s="146"/>
      <c r="J784" s="146"/>
      <c r="K784" s="146"/>
      <c r="L784" s="146"/>
      <c r="M784" s="146"/>
      <c r="N784" s="146"/>
      <c r="O784" s="146"/>
      <c r="P784" s="146"/>
      <c r="Q784" s="146"/>
      <c r="R784" s="146"/>
      <c r="S784" s="146"/>
      <c r="T784" s="146"/>
      <c r="U784" s="146"/>
      <c r="V784" s="146"/>
      <c r="W784" s="146"/>
      <c r="X784" s="146"/>
      <c r="Y784" s="146"/>
      <c r="Z784" s="146"/>
      <c r="AA784" s="146"/>
    </row>
    <row r="785" spans="1:27" ht="15.75" customHeight="1" x14ac:dyDescent="0.25">
      <c r="A785" s="146"/>
      <c r="B785" s="146"/>
      <c r="C785" s="146"/>
      <c r="D785" s="146"/>
      <c r="E785" s="146"/>
      <c r="F785" s="146"/>
      <c r="G785" s="146"/>
      <c r="H785" s="146"/>
      <c r="I785" s="146"/>
      <c r="J785" s="146"/>
      <c r="K785" s="146"/>
      <c r="L785" s="146"/>
      <c r="M785" s="146"/>
      <c r="N785" s="146"/>
      <c r="O785" s="146"/>
      <c r="P785" s="146"/>
      <c r="Q785" s="146"/>
      <c r="R785" s="146"/>
      <c r="S785" s="146"/>
      <c r="T785" s="146"/>
      <c r="U785" s="146"/>
      <c r="V785" s="146"/>
      <c r="W785" s="146"/>
      <c r="X785" s="146"/>
      <c r="Y785" s="146"/>
      <c r="Z785" s="146"/>
      <c r="AA785" s="146"/>
    </row>
    <row r="786" spans="1:27" ht="15.75" customHeight="1" x14ac:dyDescent="0.25">
      <c r="A786" s="146"/>
      <c r="B786" s="146"/>
      <c r="C786" s="146"/>
      <c r="D786" s="146"/>
      <c r="E786" s="146"/>
      <c r="F786" s="146"/>
      <c r="G786" s="146"/>
      <c r="H786" s="146"/>
      <c r="I786" s="146"/>
      <c r="J786" s="146"/>
      <c r="K786" s="146"/>
      <c r="L786" s="146"/>
      <c r="M786" s="146"/>
      <c r="N786" s="146"/>
      <c r="O786" s="146"/>
      <c r="P786" s="146"/>
      <c r="Q786" s="146"/>
      <c r="R786" s="146"/>
      <c r="S786" s="146"/>
      <c r="T786" s="146"/>
      <c r="U786" s="146"/>
      <c r="V786" s="146"/>
      <c r="W786" s="146"/>
      <c r="X786" s="146"/>
      <c r="Y786" s="146"/>
      <c r="Z786" s="146"/>
      <c r="AA786" s="146"/>
    </row>
    <row r="787" spans="1:27" ht="15.75" customHeight="1" x14ac:dyDescent="0.25">
      <c r="A787" s="146"/>
      <c r="B787" s="146"/>
      <c r="C787" s="146"/>
      <c r="D787" s="146"/>
      <c r="E787" s="146"/>
      <c r="F787" s="146"/>
      <c r="G787" s="146"/>
      <c r="H787" s="146"/>
      <c r="I787" s="146"/>
      <c r="J787" s="146"/>
      <c r="K787" s="146"/>
      <c r="L787" s="146"/>
      <c r="M787" s="146"/>
      <c r="N787" s="146"/>
      <c r="O787" s="146"/>
      <c r="P787" s="146"/>
      <c r="Q787" s="146"/>
      <c r="R787" s="146"/>
      <c r="S787" s="146"/>
      <c r="T787" s="146"/>
      <c r="U787" s="146"/>
      <c r="V787" s="146"/>
      <c r="W787" s="146"/>
      <c r="X787" s="146"/>
      <c r="Y787" s="146"/>
      <c r="Z787" s="146"/>
      <c r="AA787" s="146"/>
    </row>
    <row r="788" spans="1:27" ht="15.75" customHeight="1" x14ac:dyDescent="0.25">
      <c r="A788" s="146"/>
      <c r="B788" s="146"/>
      <c r="C788" s="146"/>
      <c r="D788" s="146"/>
      <c r="E788" s="146"/>
      <c r="F788" s="146"/>
      <c r="G788" s="146"/>
      <c r="H788" s="146"/>
      <c r="I788" s="146"/>
      <c r="J788" s="146"/>
      <c r="K788" s="146"/>
      <c r="L788" s="146"/>
      <c r="M788" s="146"/>
      <c r="N788" s="146"/>
      <c r="O788" s="146"/>
      <c r="P788" s="146"/>
      <c r="Q788" s="146"/>
      <c r="R788" s="146"/>
      <c r="S788" s="146"/>
      <c r="T788" s="146"/>
      <c r="U788" s="146"/>
      <c r="V788" s="146"/>
      <c r="W788" s="146"/>
      <c r="X788" s="146"/>
      <c r="Y788" s="146"/>
      <c r="Z788" s="146"/>
      <c r="AA788" s="146"/>
    </row>
    <row r="789" spans="1:27" ht="15.75" customHeight="1" x14ac:dyDescent="0.25">
      <c r="A789" s="146"/>
      <c r="B789" s="146"/>
      <c r="C789" s="146"/>
      <c r="D789" s="146"/>
      <c r="E789" s="146"/>
      <c r="F789" s="146"/>
      <c r="G789" s="146"/>
      <c r="H789" s="146"/>
      <c r="I789" s="146"/>
      <c r="J789" s="146"/>
      <c r="K789" s="146"/>
      <c r="L789" s="146"/>
      <c r="M789" s="146"/>
      <c r="N789" s="146"/>
      <c r="O789" s="146"/>
      <c r="P789" s="146"/>
      <c r="Q789" s="146"/>
      <c r="R789" s="146"/>
      <c r="S789" s="146"/>
      <c r="T789" s="146"/>
      <c r="U789" s="146"/>
      <c r="V789" s="146"/>
      <c r="W789" s="146"/>
      <c r="X789" s="146"/>
      <c r="Y789" s="146"/>
      <c r="Z789" s="146"/>
      <c r="AA789" s="146"/>
    </row>
    <row r="790" spans="1:27" ht="15.75" customHeight="1" x14ac:dyDescent="0.25">
      <c r="A790" s="146"/>
      <c r="B790" s="146"/>
      <c r="C790" s="146"/>
      <c r="D790" s="146"/>
      <c r="E790" s="146"/>
      <c r="F790" s="146"/>
      <c r="G790" s="146"/>
      <c r="H790" s="146"/>
      <c r="I790" s="146"/>
      <c r="J790" s="146"/>
      <c r="K790" s="146"/>
      <c r="L790" s="146"/>
      <c r="M790" s="146"/>
      <c r="N790" s="146"/>
      <c r="O790" s="146"/>
      <c r="P790" s="146"/>
      <c r="Q790" s="146"/>
      <c r="R790" s="146"/>
      <c r="S790" s="146"/>
      <c r="T790" s="146"/>
      <c r="U790" s="146"/>
      <c r="V790" s="146"/>
      <c r="W790" s="146"/>
      <c r="X790" s="146"/>
      <c r="Y790" s="146"/>
      <c r="Z790" s="146"/>
      <c r="AA790" s="146"/>
    </row>
    <row r="791" spans="1:27" ht="15.75" customHeight="1" x14ac:dyDescent="0.25">
      <c r="A791" s="146"/>
      <c r="B791" s="146"/>
      <c r="C791" s="146"/>
      <c r="D791" s="146"/>
      <c r="E791" s="146"/>
      <c r="F791" s="146"/>
      <c r="G791" s="146"/>
      <c r="H791" s="146"/>
      <c r="I791" s="146"/>
      <c r="J791" s="146"/>
      <c r="K791" s="146"/>
      <c r="L791" s="146"/>
      <c r="M791" s="146"/>
      <c r="N791" s="146"/>
      <c r="O791" s="146"/>
      <c r="P791" s="146"/>
      <c r="Q791" s="146"/>
      <c r="R791" s="146"/>
      <c r="S791" s="146"/>
      <c r="T791" s="146"/>
      <c r="U791" s="146"/>
      <c r="V791" s="146"/>
      <c r="W791" s="146"/>
      <c r="X791" s="146"/>
      <c r="Y791" s="146"/>
      <c r="Z791" s="146"/>
      <c r="AA791" s="146"/>
    </row>
    <row r="792" spans="1:27" ht="15.75" customHeight="1" x14ac:dyDescent="0.25">
      <c r="A792" s="146"/>
      <c r="B792" s="146"/>
      <c r="C792" s="146"/>
      <c r="D792" s="146"/>
      <c r="E792" s="146"/>
      <c r="F792" s="146"/>
      <c r="G792" s="146"/>
      <c r="H792" s="146"/>
      <c r="I792" s="146"/>
      <c r="J792" s="146"/>
      <c r="K792" s="146"/>
      <c r="L792" s="146"/>
      <c r="M792" s="146"/>
      <c r="N792" s="146"/>
      <c r="O792" s="146"/>
      <c r="P792" s="146"/>
      <c r="Q792" s="146"/>
      <c r="R792" s="146"/>
      <c r="S792" s="146"/>
      <c r="T792" s="146"/>
      <c r="U792" s="146"/>
      <c r="V792" s="146"/>
      <c r="W792" s="146"/>
      <c r="X792" s="146"/>
      <c r="Y792" s="146"/>
      <c r="Z792" s="146"/>
      <c r="AA792" s="146"/>
    </row>
    <row r="793" spans="1:27" ht="15.75" customHeight="1" x14ac:dyDescent="0.25">
      <c r="A793" s="146"/>
      <c r="B793" s="146"/>
      <c r="C793" s="146"/>
      <c r="D793" s="146"/>
      <c r="E793" s="146"/>
      <c r="F793" s="146"/>
      <c r="G793" s="146"/>
      <c r="H793" s="146"/>
      <c r="I793" s="146"/>
      <c r="J793" s="146"/>
      <c r="K793" s="146"/>
      <c r="L793" s="146"/>
      <c r="M793" s="146"/>
      <c r="N793" s="146"/>
      <c r="O793" s="146"/>
      <c r="P793" s="146"/>
      <c r="Q793" s="146"/>
      <c r="R793" s="146"/>
      <c r="S793" s="146"/>
      <c r="T793" s="146"/>
      <c r="U793" s="146"/>
      <c r="V793" s="146"/>
      <c r="W793" s="146"/>
      <c r="X793" s="146"/>
      <c r="Y793" s="146"/>
      <c r="Z793" s="146"/>
      <c r="AA793" s="146"/>
    </row>
    <row r="794" spans="1:27" ht="15.75" customHeight="1" x14ac:dyDescent="0.25">
      <c r="A794" s="146"/>
      <c r="B794" s="146"/>
      <c r="C794" s="146"/>
      <c r="D794" s="146"/>
      <c r="E794" s="146"/>
      <c r="F794" s="146"/>
      <c r="G794" s="146"/>
      <c r="H794" s="146"/>
      <c r="I794" s="146"/>
      <c r="J794" s="146"/>
      <c r="K794" s="146"/>
      <c r="L794" s="146"/>
      <c r="M794" s="146"/>
      <c r="N794" s="146"/>
      <c r="O794" s="146"/>
      <c r="P794" s="146"/>
      <c r="Q794" s="146"/>
      <c r="R794" s="146"/>
      <c r="S794" s="146"/>
      <c r="T794" s="146"/>
      <c r="U794" s="146"/>
      <c r="V794" s="146"/>
      <c r="W794" s="146"/>
      <c r="X794" s="146"/>
      <c r="Y794" s="146"/>
      <c r="Z794" s="146"/>
      <c r="AA794" s="146"/>
    </row>
    <row r="795" spans="1:27" ht="15.75" customHeight="1" x14ac:dyDescent="0.25">
      <c r="A795" s="146"/>
      <c r="B795" s="146"/>
      <c r="C795" s="146"/>
      <c r="D795" s="146"/>
      <c r="E795" s="146"/>
      <c r="F795" s="146"/>
      <c r="G795" s="146"/>
      <c r="H795" s="146"/>
      <c r="I795" s="146"/>
      <c r="J795" s="146"/>
      <c r="K795" s="146"/>
      <c r="L795" s="146"/>
      <c r="M795" s="146"/>
      <c r="N795" s="146"/>
      <c r="O795" s="146"/>
      <c r="P795" s="146"/>
      <c r="Q795" s="146"/>
      <c r="R795" s="146"/>
      <c r="S795" s="146"/>
      <c r="T795" s="146"/>
      <c r="U795" s="146"/>
      <c r="V795" s="146"/>
      <c r="W795" s="146"/>
      <c r="X795" s="146"/>
      <c r="Y795" s="146"/>
      <c r="Z795" s="146"/>
      <c r="AA795" s="146"/>
    </row>
    <row r="796" spans="1:27" ht="15.75" customHeight="1" x14ac:dyDescent="0.25">
      <c r="A796" s="146"/>
      <c r="B796" s="146"/>
      <c r="C796" s="146"/>
      <c r="D796" s="146"/>
      <c r="E796" s="146"/>
      <c r="F796" s="146"/>
      <c r="G796" s="146"/>
      <c r="H796" s="146"/>
      <c r="I796" s="146"/>
      <c r="J796" s="146"/>
      <c r="K796" s="146"/>
      <c r="L796" s="146"/>
      <c r="M796" s="146"/>
      <c r="N796" s="146"/>
      <c r="O796" s="146"/>
      <c r="P796" s="146"/>
      <c r="Q796" s="146"/>
      <c r="R796" s="146"/>
      <c r="S796" s="146"/>
      <c r="T796" s="146"/>
      <c r="U796" s="146"/>
      <c r="V796" s="146"/>
      <c r="W796" s="146"/>
      <c r="X796" s="146"/>
      <c r="Y796" s="146"/>
      <c r="Z796" s="146"/>
      <c r="AA796" s="146"/>
    </row>
    <row r="797" spans="1:27" ht="15.75" customHeight="1" x14ac:dyDescent="0.25">
      <c r="A797" s="146"/>
      <c r="B797" s="146"/>
      <c r="C797" s="146"/>
      <c r="D797" s="146"/>
      <c r="E797" s="146"/>
      <c r="F797" s="146"/>
      <c r="G797" s="146"/>
      <c r="H797" s="146"/>
      <c r="I797" s="146"/>
      <c r="J797" s="146"/>
      <c r="K797" s="146"/>
      <c r="L797" s="146"/>
      <c r="M797" s="146"/>
      <c r="N797" s="146"/>
      <c r="O797" s="146"/>
      <c r="P797" s="146"/>
      <c r="Q797" s="146"/>
      <c r="R797" s="146"/>
      <c r="S797" s="146"/>
      <c r="T797" s="146"/>
      <c r="U797" s="146"/>
      <c r="V797" s="146"/>
      <c r="W797" s="146"/>
      <c r="X797" s="146"/>
      <c r="Y797" s="146"/>
      <c r="Z797" s="146"/>
      <c r="AA797" s="146"/>
    </row>
    <row r="798" spans="1:27" ht="15.75" customHeight="1" x14ac:dyDescent="0.25">
      <c r="A798" s="146"/>
      <c r="B798" s="146"/>
      <c r="C798" s="146"/>
      <c r="D798" s="146"/>
      <c r="E798" s="146"/>
      <c r="F798" s="146"/>
      <c r="G798" s="146"/>
      <c r="H798" s="146"/>
      <c r="I798" s="146"/>
      <c r="J798" s="146"/>
      <c r="K798" s="146"/>
      <c r="L798" s="146"/>
      <c r="M798" s="146"/>
      <c r="N798" s="146"/>
      <c r="O798" s="146"/>
      <c r="P798" s="146"/>
      <c r="Q798" s="146"/>
      <c r="R798" s="146"/>
      <c r="S798" s="146"/>
      <c r="T798" s="146"/>
      <c r="U798" s="146"/>
      <c r="V798" s="146"/>
      <c r="W798" s="146"/>
      <c r="X798" s="146"/>
      <c r="Y798" s="146"/>
      <c r="Z798" s="146"/>
      <c r="AA798" s="146"/>
    </row>
    <row r="799" spans="1:27" ht="15.75" customHeight="1" x14ac:dyDescent="0.25">
      <c r="A799" s="146"/>
      <c r="B799" s="146"/>
      <c r="C799" s="146"/>
      <c r="D799" s="146"/>
      <c r="E799" s="146"/>
      <c r="F799" s="146"/>
      <c r="G799" s="146"/>
      <c r="H799" s="146"/>
      <c r="I799" s="146"/>
      <c r="J799" s="146"/>
      <c r="K799" s="146"/>
      <c r="L799" s="146"/>
      <c r="M799" s="146"/>
      <c r="N799" s="146"/>
      <c r="O799" s="146"/>
      <c r="P799" s="146"/>
      <c r="Q799" s="146"/>
      <c r="R799" s="146"/>
      <c r="S799" s="146"/>
      <c r="T799" s="146"/>
      <c r="U799" s="146"/>
      <c r="V799" s="146"/>
      <c r="W799" s="146"/>
      <c r="X799" s="146"/>
      <c r="Y799" s="146"/>
      <c r="Z799" s="146"/>
      <c r="AA799" s="146"/>
    </row>
    <row r="800" spans="1:27" ht="15.75" customHeight="1" x14ac:dyDescent="0.25">
      <c r="A800" s="146"/>
      <c r="B800" s="146"/>
      <c r="C800" s="146"/>
      <c r="D800" s="146"/>
      <c r="E800" s="146"/>
      <c r="F800" s="146"/>
      <c r="G800" s="146"/>
      <c r="H800" s="146"/>
      <c r="I800" s="146"/>
      <c r="J800" s="146"/>
      <c r="K800" s="146"/>
      <c r="L800" s="146"/>
      <c r="M800" s="146"/>
      <c r="N800" s="146"/>
      <c r="O800" s="146"/>
      <c r="P800" s="146"/>
      <c r="Q800" s="146"/>
      <c r="R800" s="146"/>
      <c r="S800" s="146"/>
      <c r="T800" s="146"/>
      <c r="U800" s="146"/>
      <c r="V800" s="146"/>
      <c r="W800" s="146"/>
      <c r="X800" s="146"/>
      <c r="Y800" s="146"/>
      <c r="Z800" s="146"/>
      <c r="AA800" s="146"/>
    </row>
    <row r="801" spans="1:27" ht="15.75" customHeight="1" x14ac:dyDescent="0.25">
      <c r="A801" s="146"/>
      <c r="B801" s="146"/>
      <c r="C801" s="146"/>
      <c r="D801" s="146"/>
      <c r="E801" s="146"/>
      <c r="F801" s="146"/>
      <c r="G801" s="146"/>
      <c r="H801" s="146"/>
      <c r="I801" s="146"/>
      <c r="J801" s="146"/>
      <c r="K801" s="146"/>
      <c r="L801" s="146"/>
      <c r="M801" s="146"/>
      <c r="N801" s="146"/>
      <c r="O801" s="146"/>
      <c r="P801" s="146"/>
      <c r="Q801" s="146"/>
      <c r="R801" s="146"/>
      <c r="S801" s="146"/>
      <c r="T801" s="146"/>
      <c r="U801" s="146"/>
      <c r="V801" s="146"/>
      <c r="W801" s="146"/>
      <c r="X801" s="146"/>
      <c r="Y801" s="146"/>
      <c r="Z801" s="146"/>
      <c r="AA801" s="146"/>
    </row>
    <row r="802" spans="1:27" ht="15.75" customHeight="1" x14ac:dyDescent="0.25">
      <c r="A802" s="146"/>
      <c r="B802" s="146"/>
      <c r="C802" s="146"/>
      <c r="D802" s="146"/>
      <c r="E802" s="146"/>
      <c r="F802" s="146"/>
      <c r="G802" s="146"/>
      <c r="H802" s="146"/>
      <c r="I802" s="146"/>
      <c r="J802" s="146"/>
      <c r="K802" s="146"/>
      <c r="L802" s="146"/>
      <c r="M802" s="146"/>
      <c r="N802" s="146"/>
      <c r="O802" s="146"/>
      <c r="P802" s="146"/>
      <c r="Q802" s="146"/>
      <c r="R802" s="146"/>
      <c r="S802" s="146"/>
      <c r="T802" s="146"/>
      <c r="U802" s="146"/>
      <c r="V802" s="146"/>
      <c r="W802" s="146"/>
      <c r="X802" s="146"/>
      <c r="Y802" s="146"/>
      <c r="Z802" s="146"/>
      <c r="AA802" s="146"/>
    </row>
    <row r="803" spans="1:27" ht="15.75" customHeight="1" x14ac:dyDescent="0.25">
      <c r="A803" s="146"/>
      <c r="B803" s="146"/>
      <c r="C803" s="146"/>
      <c r="D803" s="146"/>
      <c r="E803" s="146"/>
      <c r="F803" s="146"/>
      <c r="G803" s="146"/>
      <c r="H803" s="146"/>
      <c r="I803" s="146"/>
      <c r="J803" s="146"/>
      <c r="K803" s="146"/>
      <c r="L803" s="146"/>
      <c r="M803" s="146"/>
      <c r="N803" s="146"/>
      <c r="O803" s="146"/>
      <c r="P803" s="146"/>
      <c r="Q803" s="146"/>
      <c r="R803" s="146"/>
      <c r="S803" s="146"/>
      <c r="T803" s="146"/>
      <c r="U803" s="146"/>
      <c r="V803" s="146"/>
      <c r="W803" s="146"/>
      <c r="X803" s="146"/>
      <c r="Y803" s="146"/>
      <c r="Z803" s="146"/>
      <c r="AA803" s="146"/>
    </row>
    <row r="804" spans="1:27" ht="15.75" customHeight="1" x14ac:dyDescent="0.25">
      <c r="A804" s="146"/>
      <c r="B804" s="146"/>
      <c r="C804" s="146"/>
      <c r="D804" s="146"/>
      <c r="E804" s="146"/>
      <c r="F804" s="146"/>
      <c r="G804" s="146"/>
      <c r="H804" s="146"/>
      <c r="I804" s="146"/>
      <c r="J804" s="146"/>
      <c r="K804" s="146"/>
      <c r="L804" s="146"/>
      <c r="M804" s="146"/>
      <c r="N804" s="146"/>
      <c r="O804" s="146"/>
      <c r="P804" s="146"/>
      <c r="Q804" s="146"/>
      <c r="R804" s="146"/>
      <c r="S804" s="146"/>
      <c r="T804" s="146"/>
      <c r="U804" s="146"/>
      <c r="V804" s="146"/>
      <c r="W804" s="146"/>
      <c r="X804" s="146"/>
      <c r="Y804" s="146"/>
      <c r="Z804" s="146"/>
      <c r="AA804" s="146"/>
    </row>
    <row r="805" spans="1:27" ht="15.75" customHeight="1" x14ac:dyDescent="0.25">
      <c r="A805" s="146"/>
      <c r="B805" s="146"/>
      <c r="C805" s="146"/>
      <c r="D805" s="146"/>
      <c r="E805" s="146"/>
      <c r="F805" s="146"/>
      <c r="G805" s="146"/>
      <c r="H805" s="146"/>
      <c r="I805" s="146"/>
      <c r="J805" s="146"/>
      <c r="K805" s="146"/>
      <c r="L805" s="146"/>
      <c r="M805" s="146"/>
      <c r="N805" s="146"/>
      <c r="O805" s="146"/>
      <c r="P805" s="146"/>
      <c r="Q805" s="146"/>
      <c r="R805" s="146"/>
      <c r="S805" s="146"/>
      <c r="T805" s="146"/>
      <c r="U805" s="146"/>
      <c r="V805" s="146"/>
      <c r="W805" s="146"/>
      <c r="X805" s="146"/>
      <c r="Y805" s="146"/>
      <c r="Z805" s="146"/>
      <c r="AA805" s="146"/>
    </row>
    <row r="806" spans="1:27" ht="15.75" customHeight="1" x14ac:dyDescent="0.25">
      <c r="A806" s="146"/>
      <c r="B806" s="146"/>
      <c r="C806" s="146"/>
      <c r="D806" s="146"/>
      <c r="E806" s="146"/>
      <c r="F806" s="146"/>
      <c r="G806" s="146"/>
      <c r="H806" s="146"/>
      <c r="I806" s="146"/>
      <c r="J806" s="146"/>
      <c r="K806" s="146"/>
      <c r="L806" s="146"/>
      <c r="M806" s="146"/>
      <c r="N806" s="146"/>
      <c r="O806" s="146"/>
      <c r="P806" s="146"/>
      <c r="Q806" s="146"/>
      <c r="R806" s="146"/>
      <c r="S806" s="146"/>
      <c r="T806" s="146"/>
      <c r="U806" s="146"/>
      <c r="V806" s="146"/>
      <c r="W806" s="146"/>
      <c r="X806" s="146"/>
      <c r="Y806" s="146"/>
      <c r="Z806" s="146"/>
      <c r="AA806" s="146"/>
    </row>
    <row r="807" spans="1:27" ht="15.75" customHeight="1" x14ac:dyDescent="0.25">
      <c r="A807" s="146"/>
      <c r="B807" s="146"/>
      <c r="C807" s="146"/>
      <c r="D807" s="146"/>
      <c r="E807" s="146"/>
      <c r="F807" s="146"/>
      <c r="G807" s="146"/>
      <c r="H807" s="146"/>
      <c r="I807" s="146"/>
      <c r="J807" s="146"/>
      <c r="K807" s="146"/>
      <c r="L807" s="146"/>
      <c r="M807" s="146"/>
      <c r="N807" s="146"/>
      <c r="O807" s="146"/>
      <c r="P807" s="146"/>
      <c r="Q807" s="146"/>
      <c r="R807" s="146"/>
      <c r="S807" s="146"/>
      <c r="T807" s="146"/>
      <c r="U807" s="146"/>
      <c r="V807" s="146"/>
      <c r="W807" s="146"/>
      <c r="X807" s="146"/>
      <c r="Y807" s="146"/>
      <c r="Z807" s="146"/>
      <c r="AA807" s="146"/>
    </row>
    <row r="808" spans="1:27" ht="15.75" customHeight="1" x14ac:dyDescent="0.25">
      <c r="A808" s="146"/>
      <c r="B808" s="146"/>
      <c r="C808" s="146"/>
      <c r="D808" s="146"/>
      <c r="E808" s="146"/>
      <c r="F808" s="146"/>
      <c r="G808" s="146"/>
      <c r="H808" s="146"/>
      <c r="I808" s="146"/>
      <c r="J808" s="146"/>
      <c r="K808" s="146"/>
      <c r="L808" s="146"/>
      <c r="M808" s="146"/>
      <c r="N808" s="146"/>
      <c r="O808" s="146"/>
      <c r="P808" s="146"/>
      <c r="Q808" s="146"/>
      <c r="R808" s="146"/>
      <c r="S808" s="146"/>
      <c r="T808" s="146"/>
      <c r="U808" s="146"/>
      <c r="V808" s="146"/>
      <c r="W808" s="146"/>
      <c r="X808" s="146"/>
      <c r="Y808" s="146"/>
      <c r="Z808" s="146"/>
      <c r="AA808" s="146"/>
    </row>
    <row r="809" spans="1:27" ht="15.75" customHeight="1" x14ac:dyDescent="0.25">
      <c r="A809" s="146"/>
      <c r="B809" s="146"/>
      <c r="C809" s="146"/>
      <c r="D809" s="146"/>
      <c r="E809" s="146"/>
      <c r="F809" s="146"/>
      <c r="G809" s="146"/>
      <c r="H809" s="146"/>
      <c r="I809" s="146"/>
      <c r="J809" s="146"/>
      <c r="K809" s="146"/>
      <c r="L809" s="146"/>
      <c r="M809" s="146"/>
      <c r="N809" s="146"/>
      <c r="O809" s="146"/>
      <c r="P809" s="146"/>
      <c r="Q809" s="146"/>
      <c r="R809" s="146"/>
      <c r="S809" s="146"/>
      <c r="T809" s="146"/>
      <c r="U809" s="146"/>
      <c r="V809" s="146"/>
      <c r="W809" s="146"/>
      <c r="X809" s="146"/>
      <c r="Y809" s="146"/>
      <c r="Z809" s="146"/>
      <c r="AA809" s="146"/>
    </row>
    <row r="810" spans="1:27" ht="15.75" customHeight="1" x14ac:dyDescent="0.25">
      <c r="A810" s="146"/>
      <c r="B810" s="146"/>
      <c r="C810" s="146"/>
      <c r="D810" s="146"/>
      <c r="E810" s="146"/>
      <c r="F810" s="146"/>
      <c r="G810" s="146"/>
      <c r="H810" s="146"/>
      <c r="I810" s="146"/>
      <c r="J810" s="146"/>
      <c r="K810" s="146"/>
      <c r="L810" s="146"/>
      <c r="M810" s="146"/>
      <c r="N810" s="146"/>
      <c r="O810" s="146"/>
      <c r="P810" s="146"/>
      <c r="Q810" s="146"/>
      <c r="R810" s="146"/>
      <c r="S810" s="146"/>
      <c r="T810" s="146"/>
      <c r="U810" s="146"/>
      <c r="V810" s="146"/>
      <c r="W810" s="146"/>
      <c r="X810" s="146"/>
      <c r="Y810" s="146"/>
      <c r="Z810" s="146"/>
      <c r="AA810" s="146"/>
    </row>
    <row r="811" spans="1:27" ht="15.75" customHeight="1" x14ac:dyDescent="0.25">
      <c r="A811" s="146"/>
      <c r="B811" s="146"/>
      <c r="C811" s="146"/>
      <c r="D811" s="146"/>
      <c r="E811" s="146"/>
      <c r="F811" s="146"/>
      <c r="G811" s="146"/>
      <c r="H811" s="146"/>
      <c r="I811" s="146"/>
      <c r="J811" s="146"/>
      <c r="K811" s="146"/>
      <c r="L811" s="146"/>
      <c r="M811" s="146"/>
      <c r="N811" s="146"/>
      <c r="O811" s="146"/>
      <c r="P811" s="146"/>
      <c r="Q811" s="146"/>
      <c r="R811" s="146"/>
      <c r="S811" s="146"/>
      <c r="T811" s="146"/>
      <c r="U811" s="146"/>
      <c r="V811" s="146"/>
      <c r="W811" s="146"/>
      <c r="X811" s="146"/>
      <c r="Y811" s="146"/>
      <c r="Z811" s="146"/>
      <c r="AA811" s="146"/>
    </row>
    <row r="812" spans="1:27" ht="15.75" customHeight="1" x14ac:dyDescent="0.25">
      <c r="A812" s="146"/>
      <c r="B812" s="146"/>
      <c r="C812" s="146"/>
      <c r="D812" s="146"/>
      <c r="E812" s="146"/>
      <c r="F812" s="146"/>
      <c r="G812" s="146"/>
      <c r="H812" s="146"/>
      <c r="I812" s="146"/>
      <c r="J812" s="146"/>
      <c r="K812" s="146"/>
      <c r="L812" s="146"/>
      <c r="M812" s="146"/>
      <c r="N812" s="146"/>
      <c r="O812" s="146"/>
      <c r="P812" s="146"/>
      <c r="Q812" s="146"/>
      <c r="R812" s="146"/>
      <c r="S812" s="146"/>
      <c r="T812" s="146"/>
      <c r="U812" s="146"/>
      <c r="V812" s="146"/>
      <c r="W812" s="146"/>
      <c r="X812" s="146"/>
      <c r="Y812" s="146"/>
      <c r="Z812" s="146"/>
      <c r="AA812" s="146"/>
    </row>
    <row r="813" spans="1:27" ht="15.75" customHeight="1" x14ac:dyDescent="0.25">
      <c r="A813" s="146"/>
      <c r="B813" s="146"/>
      <c r="C813" s="146"/>
      <c r="D813" s="146"/>
      <c r="E813" s="146"/>
      <c r="F813" s="146"/>
      <c r="G813" s="146"/>
      <c r="H813" s="146"/>
      <c r="I813" s="146"/>
      <c r="J813" s="146"/>
      <c r="K813" s="146"/>
      <c r="L813" s="146"/>
      <c r="M813" s="146"/>
      <c r="N813" s="146"/>
      <c r="O813" s="146"/>
      <c r="P813" s="146"/>
      <c r="Q813" s="146"/>
      <c r="R813" s="146"/>
      <c r="S813" s="146"/>
      <c r="T813" s="146"/>
      <c r="U813" s="146"/>
      <c r="V813" s="146"/>
      <c r="W813" s="146"/>
      <c r="X813" s="146"/>
      <c r="Y813" s="146"/>
      <c r="Z813" s="146"/>
      <c r="AA813" s="146"/>
    </row>
    <row r="814" spans="1:27" ht="15.75" customHeight="1" x14ac:dyDescent="0.25">
      <c r="A814" s="146"/>
      <c r="B814" s="146"/>
      <c r="C814" s="146"/>
      <c r="D814" s="146"/>
      <c r="E814" s="146"/>
      <c r="F814" s="146"/>
      <c r="G814" s="146"/>
      <c r="H814" s="146"/>
      <c r="I814" s="146"/>
      <c r="J814" s="146"/>
      <c r="K814" s="146"/>
      <c r="L814" s="146"/>
      <c r="M814" s="146"/>
      <c r="N814" s="146"/>
      <c r="O814" s="146"/>
      <c r="P814" s="146"/>
      <c r="Q814" s="146"/>
      <c r="R814" s="146"/>
      <c r="S814" s="146"/>
      <c r="T814" s="146"/>
      <c r="U814" s="146"/>
      <c r="V814" s="146"/>
      <c r="W814" s="146"/>
      <c r="X814" s="146"/>
      <c r="Y814" s="146"/>
      <c r="Z814" s="146"/>
      <c r="AA814" s="146"/>
    </row>
    <row r="815" spans="1:27" ht="15.75" customHeight="1" x14ac:dyDescent="0.25">
      <c r="A815" s="146"/>
      <c r="B815" s="146"/>
      <c r="C815" s="146"/>
      <c r="D815" s="146"/>
      <c r="E815" s="146"/>
      <c r="F815" s="146"/>
      <c r="G815" s="146"/>
      <c r="H815" s="146"/>
      <c r="I815" s="146"/>
      <c r="J815" s="146"/>
      <c r="K815" s="146"/>
      <c r="L815" s="146"/>
      <c r="M815" s="146"/>
      <c r="N815" s="146"/>
      <c r="O815" s="146"/>
      <c r="P815" s="146"/>
      <c r="Q815" s="146"/>
      <c r="R815" s="146"/>
      <c r="S815" s="146"/>
      <c r="T815" s="146"/>
      <c r="U815" s="146"/>
      <c r="V815" s="146"/>
      <c r="W815" s="146"/>
      <c r="X815" s="146"/>
      <c r="Y815" s="146"/>
      <c r="Z815" s="146"/>
      <c r="AA815" s="146"/>
    </row>
    <row r="816" spans="1:27" ht="15.75" customHeight="1" x14ac:dyDescent="0.25">
      <c r="A816" s="146"/>
      <c r="B816" s="146"/>
      <c r="C816" s="146"/>
      <c r="D816" s="146"/>
      <c r="E816" s="146"/>
      <c r="F816" s="146"/>
      <c r="G816" s="146"/>
      <c r="H816" s="146"/>
      <c r="I816" s="146"/>
      <c r="J816" s="146"/>
      <c r="K816" s="146"/>
      <c r="L816" s="146"/>
      <c r="M816" s="146"/>
      <c r="N816" s="146"/>
      <c r="O816" s="146"/>
      <c r="P816" s="146"/>
      <c r="Q816" s="146"/>
      <c r="R816" s="146"/>
      <c r="S816" s="146"/>
      <c r="T816" s="146"/>
      <c r="U816" s="146"/>
      <c r="V816" s="146"/>
      <c r="W816" s="146"/>
      <c r="X816" s="146"/>
      <c r="Y816" s="146"/>
      <c r="Z816" s="146"/>
      <c r="AA816" s="146"/>
    </row>
    <row r="817" spans="1:27" ht="15.75" customHeight="1" x14ac:dyDescent="0.25">
      <c r="A817" s="146"/>
      <c r="B817" s="146"/>
      <c r="C817" s="146"/>
      <c r="D817" s="146"/>
      <c r="E817" s="146"/>
      <c r="F817" s="146"/>
      <c r="G817" s="146"/>
      <c r="H817" s="146"/>
      <c r="I817" s="146"/>
      <c r="J817" s="146"/>
      <c r="K817" s="146"/>
      <c r="L817" s="146"/>
      <c r="M817" s="146"/>
      <c r="N817" s="146"/>
      <c r="O817" s="146"/>
      <c r="P817" s="146"/>
      <c r="Q817" s="146"/>
      <c r="R817" s="146"/>
      <c r="S817" s="146"/>
      <c r="T817" s="146"/>
      <c r="U817" s="146"/>
      <c r="V817" s="146"/>
      <c r="W817" s="146"/>
      <c r="X817" s="146"/>
      <c r="Y817" s="146"/>
      <c r="Z817" s="146"/>
      <c r="AA817" s="146"/>
    </row>
    <row r="818" spans="1:27" ht="15.75" customHeight="1" x14ac:dyDescent="0.25">
      <c r="A818" s="146"/>
      <c r="B818" s="146"/>
      <c r="C818" s="146"/>
      <c r="D818" s="146"/>
      <c r="E818" s="146"/>
      <c r="F818" s="146"/>
      <c r="G818" s="146"/>
      <c r="H818" s="146"/>
      <c r="I818" s="146"/>
      <c r="J818" s="146"/>
      <c r="K818" s="146"/>
      <c r="L818" s="146"/>
      <c r="M818" s="146"/>
      <c r="N818" s="146"/>
      <c r="O818" s="146"/>
      <c r="P818" s="146"/>
      <c r="Q818" s="146"/>
      <c r="R818" s="146"/>
      <c r="S818" s="146"/>
      <c r="T818" s="146"/>
      <c r="U818" s="146"/>
      <c r="V818" s="146"/>
      <c r="W818" s="146"/>
      <c r="X818" s="146"/>
      <c r="Y818" s="146"/>
      <c r="Z818" s="146"/>
      <c r="AA818" s="146"/>
    </row>
    <row r="819" spans="1:27" ht="15.75" customHeight="1" x14ac:dyDescent="0.25">
      <c r="A819" s="146"/>
      <c r="B819" s="146"/>
      <c r="C819" s="146"/>
      <c r="D819" s="146"/>
      <c r="E819" s="146"/>
      <c r="F819" s="146"/>
      <c r="G819" s="146"/>
      <c r="H819" s="146"/>
      <c r="I819" s="146"/>
      <c r="J819" s="146"/>
      <c r="K819" s="146"/>
      <c r="L819" s="146"/>
      <c r="M819" s="146"/>
      <c r="N819" s="146"/>
      <c r="O819" s="146"/>
      <c r="P819" s="146"/>
      <c r="Q819" s="146"/>
      <c r="R819" s="146"/>
      <c r="S819" s="146"/>
      <c r="T819" s="146"/>
      <c r="U819" s="146"/>
      <c r="V819" s="146"/>
      <c r="W819" s="146"/>
      <c r="X819" s="146"/>
      <c r="Y819" s="146"/>
      <c r="Z819" s="146"/>
      <c r="AA819" s="146"/>
    </row>
    <row r="820" spans="1:27" ht="15.75" customHeight="1" x14ac:dyDescent="0.25">
      <c r="A820" s="146"/>
      <c r="B820" s="146"/>
      <c r="C820" s="146"/>
      <c r="D820" s="146"/>
      <c r="E820" s="146"/>
      <c r="F820" s="146"/>
      <c r="G820" s="146"/>
      <c r="H820" s="146"/>
      <c r="I820" s="146"/>
      <c r="J820" s="146"/>
      <c r="K820" s="146"/>
      <c r="L820" s="146"/>
      <c r="M820" s="146"/>
      <c r="N820" s="146"/>
      <c r="O820" s="146"/>
      <c r="P820" s="146"/>
      <c r="Q820" s="146"/>
      <c r="R820" s="146"/>
      <c r="S820" s="146"/>
      <c r="T820" s="146"/>
      <c r="U820" s="146"/>
      <c r="V820" s="146"/>
      <c r="W820" s="146"/>
      <c r="X820" s="146"/>
      <c r="Y820" s="146"/>
      <c r="Z820" s="146"/>
      <c r="AA820" s="146"/>
    </row>
    <row r="821" spans="1:27" ht="15.75" customHeight="1" x14ac:dyDescent="0.25">
      <c r="A821" s="146"/>
      <c r="B821" s="146"/>
      <c r="C821" s="146"/>
      <c r="D821" s="146"/>
      <c r="E821" s="146"/>
      <c r="F821" s="146"/>
      <c r="G821" s="146"/>
      <c r="H821" s="146"/>
      <c r="I821" s="146"/>
      <c r="J821" s="146"/>
      <c r="K821" s="146"/>
      <c r="L821" s="146"/>
      <c r="M821" s="146"/>
      <c r="N821" s="146"/>
      <c r="O821" s="146"/>
      <c r="P821" s="146"/>
      <c r="Q821" s="146"/>
      <c r="R821" s="146"/>
      <c r="S821" s="146"/>
      <c r="T821" s="146"/>
      <c r="U821" s="146"/>
      <c r="V821" s="146"/>
      <c r="W821" s="146"/>
      <c r="X821" s="146"/>
      <c r="Y821" s="146"/>
      <c r="Z821" s="146"/>
      <c r="AA821" s="146"/>
    </row>
    <row r="822" spans="1:27" ht="15.75" customHeight="1" x14ac:dyDescent="0.25">
      <c r="A822" s="146"/>
      <c r="B822" s="146"/>
      <c r="C822" s="146"/>
      <c r="D822" s="146"/>
      <c r="E822" s="146"/>
      <c r="F822" s="146"/>
      <c r="G822" s="146"/>
      <c r="H822" s="146"/>
      <c r="I822" s="146"/>
      <c r="J822" s="146"/>
      <c r="K822" s="146"/>
      <c r="L822" s="146"/>
      <c r="M822" s="146"/>
      <c r="N822" s="146"/>
      <c r="O822" s="146"/>
      <c r="P822" s="146"/>
      <c r="Q822" s="146"/>
      <c r="R822" s="146"/>
      <c r="S822" s="146"/>
      <c r="T822" s="146"/>
      <c r="U822" s="146"/>
      <c r="V822" s="146"/>
      <c r="W822" s="146"/>
      <c r="X822" s="146"/>
      <c r="Y822" s="146"/>
      <c r="Z822" s="146"/>
      <c r="AA822" s="146"/>
    </row>
    <row r="823" spans="1:27" ht="15.75" customHeight="1" x14ac:dyDescent="0.25">
      <c r="A823" s="146"/>
      <c r="B823" s="146"/>
      <c r="C823" s="146"/>
      <c r="D823" s="146"/>
      <c r="E823" s="146"/>
      <c r="F823" s="146"/>
      <c r="G823" s="146"/>
      <c r="H823" s="146"/>
      <c r="I823" s="146"/>
      <c r="J823" s="146"/>
      <c r="K823" s="146"/>
      <c r="L823" s="146"/>
      <c r="M823" s="146"/>
      <c r="N823" s="146"/>
      <c r="O823" s="146"/>
      <c r="P823" s="146"/>
      <c r="Q823" s="146"/>
      <c r="R823" s="146"/>
      <c r="S823" s="146"/>
      <c r="T823" s="146"/>
      <c r="U823" s="146"/>
      <c r="V823" s="146"/>
      <c r="W823" s="146"/>
      <c r="X823" s="146"/>
      <c r="Y823" s="146"/>
      <c r="Z823" s="146"/>
      <c r="AA823" s="146"/>
    </row>
    <row r="824" spans="1:27" ht="15.75" customHeight="1" x14ac:dyDescent="0.25">
      <c r="A824" s="146"/>
      <c r="B824" s="146"/>
      <c r="C824" s="146"/>
      <c r="D824" s="146"/>
      <c r="E824" s="146"/>
      <c r="F824" s="146"/>
      <c r="G824" s="146"/>
      <c r="H824" s="146"/>
      <c r="I824" s="146"/>
      <c r="J824" s="146"/>
      <c r="K824" s="146"/>
      <c r="L824" s="146"/>
      <c r="M824" s="146"/>
      <c r="N824" s="146"/>
      <c r="O824" s="146"/>
      <c r="P824" s="146"/>
      <c r="Q824" s="146"/>
      <c r="R824" s="146"/>
      <c r="S824" s="146"/>
      <c r="T824" s="146"/>
      <c r="U824" s="146"/>
      <c r="V824" s="146"/>
      <c r="W824" s="146"/>
      <c r="X824" s="146"/>
      <c r="Y824" s="146"/>
      <c r="Z824" s="146"/>
      <c r="AA824" s="146"/>
    </row>
    <row r="825" spans="1:27" ht="15.75" customHeight="1" x14ac:dyDescent="0.25">
      <c r="A825" s="146"/>
      <c r="B825" s="146"/>
      <c r="C825" s="146"/>
      <c r="D825" s="146"/>
      <c r="E825" s="146"/>
      <c r="F825" s="146"/>
      <c r="G825" s="146"/>
      <c r="H825" s="146"/>
      <c r="I825" s="146"/>
      <c r="J825" s="146"/>
      <c r="K825" s="146"/>
      <c r="L825" s="146"/>
      <c r="M825" s="146"/>
      <c r="N825" s="146"/>
      <c r="O825" s="146"/>
      <c r="P825" s="146"/>
      <c r="Q825" s="146"/>
      <c r="R825" s="146"/>
      <c r="S825" s="146"/>
      <c r="T825" s="146"/>
      <c r="U825" s="146"/>
      <c r="V825" s="146"/>
      <c r="W825" s="146"/>
      <c r="X825" s="146"/>
      <c r="Y825" s="146"/>
      <c r="Z825" s="146"/>
      <c r="AA825" s="146"/>
    </row>
    <row r="826" spans="1:27" ht="15.75" customHeight="1" x14ac:dyDescent="0.25">
      <c r="A826" s="146"/>
      <c r="B826" s="146"/>
      <c r="C826" s="146"/>
      <c r="D826" s="146"/>
      <c r="E826" s="146"/>
      <c r="F826" s="146"/>
      <c r="G826" s="146"/>
      <c r="H826" s="146"/>
      <c r="I826" s="146"/>
      <c r="J826" s="146"/>
      <c r="K826" s="146"/>
      <c r="L826" s="146"/>
      <c r="M826" s="146"/>
      <c r="N826" s="146"/>
      <c r="O826" s="146"/>
      <c r="P826" s="146"/>
      <c r="Q826" s="146"/>
      <c r="R826" s="146"/>
      <c r="S826" s="146"/>
      <c r="T826" s="146"/>
      <c r="U826" s="146"/>
      <c r="V826" s="146"/>
      <c r="W826" s="146"/>
      <c r="X826" s="146"/>
      <c r="Y826" s="146"/>
      <c r="Z826" s="146"/>
      <c r="AA826" s="146"/>
    </row>
    <row r="827" spans="1:27" ht="15.75" customHeight="1" x14ac:dyDescent="0.25">
      <c r="A827" s="146"/>
      <c r="B827" s="146"/>
      <c r="C827" s="146"/>
      <c r="D827" s="146"/>
      <c r="E827" s="146"/>
      <c r="F827" s="146"/>
      <c r="G827" s="146"/>
      <c r="H827" s="146"/>
      <c r="I827" s="146"/>
      <c r="J827" s="146"/>
      <c r="K827" s="146"/>
      <c r="L827" s="146"/>
      <c r="M827" s="146"/>
      <c r="N827" s="146"/>
      <c r="O827" s="146"/>
      <c r="P827" s="146"/>
      <c r="Q827" s="146"/>
      <c r="R827" s="146"/>
      <c r="S827" s="146"/>
      <c r="T827" s="146"/>
      <c r="U827" s="146"/>
      <c r="V827" s="146"/>
      <c r="W827" s="146"/>
      <c r="X827" s="146"/>
      <c r="Y827" s="146"/>
      <c r="Z827" s="146"/>
      <c r="AA827" s="146"/>
    </row>
    <row r="828" spans="1:27" ht="15.75" customHeight="1" x14ac:dyDescent="0.25">
      <c r="A828" s="146"/>
      <c r="B828" s="146"/>
      <c r="C828" s="146"/>
      <c r="D828" s="146"/>
      <c r="E828" s="146"/>
      <c r="F828" s="146"/>
      <c r="G828" s="146"/>
      <c r="H828" s="146"/>
      <c r="I828" s="146"/>
      <c r="J828" s="146"/>
      <c r="K828" s="146"/>
      <c r="L828" s="146"/>
      <c r="M828" s="146"/>
      <c r="N828" s="146"/>
      <c r="O828" s="146"/>
      <c r="P828" s="146"/>
      <c r="Q828" s="146"/>
      <c r="R828" s="146"/>
      <c r="S828" s="146"/>
      <c r="T828" s="146"/>
      <c r="U828" s="146"/>
      <c r="V828" s="146"/>
      <c r="W828" s="146"/>
      <c r="X828" s="146"/>
      <c r="Y828" s="146"/>
      <c r="Z828" s="146"/>
      <c r="AA828" s="146"/>
    </row>
    <row r="829" spans="1:27" ht="15.75" customHeight="1" x14ac:dyDescent="0.25">
      <c r="A829" s="146"/>
      <c r="B829" s="146"/>
      <c r="C829" s="146"/>
      <c r="D829" s="146"/>
      <c r="E829" s="146"/>
      <c r="F829" s="146"/>
      <c r="G829" s="146"/>
      <c r="H829" s="146"/>
      <c r="I829" s="146"/>
      <c r="J829" s="146"/>
      <c r="K829" s="146"/>
      <c r="L829" s="146"/>
      <c r="M829" s="146"/>
      <c r="N829" s="146"/>
      <c r="O829" s="146"/>
      <c r="P829" s="146"/>
      <c r="Q829" s="146"/>
      <c r="R829" s="146"/>
      <c r="S829" s="146"/>
      <c r="T829" s="146"/>
      <c r="U829" s="146"/>
      <c r="V829" s="146"/>
      <c r="W829" s="146"/>
      <c r="X829" s="146"/>
      <c r="Y829" s="146"/>
      <c r="Z829" s="146"/>
      <c r="AA829" s="146"/>
    </row>
    <row r="830" spans="1:27" ht="15.75" customHeight="1" x14ac:dyDescent="0.25">
      <c r="A830" s="146"/>
      <c r="B830" s="146"/>
      <c r="C830" s="146"/>
      <c r="D830" s="146"/>
      <c r="E830" s="146"/>
      <c r="F830" s="146"/>
      <c r="G830" s="146"/>
      <c r="H830" s="146"/>
      <c r="I830" s="146"/>
      <c r="J830" s="146"/>
      <c r="K830" s="146"/>
      <c r="L830" s="146"/>
      <c r="M830" s="146"/>
      <c r="N830" s="146"/>
      <c r="O830" s="146"/>
      <c r="P830" s="146"/>
      <c r="Q830" s="146"/>
      <c r="R830" s="146"/>
      <c r="S830" s="146"/>
      <c r="T830" s="146"/>
      <c r="U830" s="146"/>
      <c r="V830" s="146"/>
      <c r="W830" s="146"/>
      <c r="X830" s="146"/>
      <c r="Y830" s="146"/>
      <c r="Z830" s="146"/>
      <c r="AA830" s="146"/>
    </row>
    <row r="831" spans="1:27" ht="15.75" customHeight="1" x14ac:dyDescent="0.25">
      <c r="A831" s="146"/>
      <c r="B831" s="146"/>
      <c r="C831" s="146"/>
      <c r="D831" s="146"/>
      <c r="E831" s="146"/>
      <c r="F831" s="146"/>
      <c r="G831" s="146"/>
      <c r="H831" s="146"/>
      <c r="I831" s="146"/>
      <c r="J831" s="146"/>
      <c r="K831" s="146"/>
      <c r="L831" s="146"/>
      <c r="M831" s="146"/>
      <c r="N831" s="146"/>
      <c r="O831" s="146"/>
      <c r="P831" s="146"/>
      <c r="Q831" s="146"/>
      <c r="R831" s="146"/>
      <c r="S831" s="146"/>
      <c r="T831" s="146"/>
      <c r="U831" s="146"/>
      <c r="V831" s="146"/>
      <c r="W831" s="146"/>
      <c r="X831" s="146"/>
      <c r="Y831" s="146"/>
      <c r="Z831" s="146"/>
      <c r="AA831" s="146"/>
    </row>
    <row r="832" spans="1:27" ht="15.75" customHeight="1" x14ac:dyDescent="0.25">
      <c r="A832" s="146"/>
      <c r="B832" s="146"/>
      <c r="C832" s="146"/>
      <c r="D832" s="146"/>
      <c r="E832" s="146"/>
      <c r="F832" s="146"/>
      <c r="G832" s="146"/>
      <c r="H832" s="146"/>
      <c r="I832" s="146"/>
      <c r="J832" s="146"/>
      <c r="K832" s="146"/>
      <c r="L832" s="146"/>
      <c r="M832" s="146"/>
      <c r="N832" s="146"/>
      <c r="O832" s="146"/>
      <c r="P832" s="146"/>
      <c r="Q832" s="146"/>
      <c r="R832" s="146"/>
      <c r="S832" s="146"/>
      <c r="T832" s="146"/>
      <c r="U832" s="146"/>
      <c r="V832" s="146"/>
      <c r="W832" s="146"/>
      <c r="X832" s="146"/>
      <c r="Y832" s="146"/>
      <c r="Z832" s="146"/>
      <c r="AA832" s="146"/>
    </row>
    <row r="833" spans="1:27" ht="15.75" customHeight="1" x14ac:dyDescent="0.25">
      <c r="A833" s="146"/>
      <c r="B833" s="146"/>
      <c r="C833" s="146"/>
      <c r="D833" s="146"/>
      <c r="E833" s="146"/>
      <c r="F833" s="146"/>
      <c r="G833" s="146"/>
      <c r="H833" s="146"/>
      <c r="I833" s="146"/>
      <c r="J833" s="146"/>
      <c r="K833" s="146"/>
      <c r="L833" s="146"/>
      <c r="M833" s="146"/>
      <c r="N833" s="146"/>
      <c r="O833" s="146"/>
      <c r="P833" s="146"/>
      <c r="Q833" s="146"/>
      <c r="R833" s="146"/>
      <c r="S833" s="146"/>
      <c r="T833" s="146"/>
      <c r="U833" s="146"/>
      <c r="V833" s="146"/>
      <c r="W833" s="146"/>
      <c r="X833" s="146"/>
      <c r="Y833" s="146"/>
      <c r="Z833" s="146"/>
      <c r="AA833" s="146"/>
    </row>
    <row r="834" spans="1:27" ht="15.75" customHeight="1" x14ac:dyDescent="0.25">
      <c r="A834" s="146"/>
      <c r="B834" s="146"/>
      <c r="C834" s="146"/>
      <c r="D834" s="146"/>
      <c r="E834" s="146"/>
      <c r="F834" s="146"/>
      <c r="G834" s="146"/>
      <c r="H834" s="146"/>
      <c r="I834" s="146"/>
      <c r="J834" s="146"/>
      <c r="K834" s="146"/>
      <c r="L834" s="146"/>
      <c r="M834" s="146"/>
      <c r="N834" s="146"/>
      <c r="O834" s="146"/>
      <c r="P834" s="146"/>
      <c r="Q834" s="146"/>
      <c r="R834" s="146"/>
      <c r="S834" s="146"/>
      <c r="T834" s="146"/>
      <c r="U834" s="146"/>
      <c r="V834" s="146"/>
      <c r="W834" s="146"/>
      <c r="X834" s="146"/>
      <c r="Y834" s="146"/>
      <c r="Z834" s="146"/>
      <c r="AA834" s="146"/>
    </row>
    <row r="835" spans="1:27" ht="15.75" customHeight="1" x14ac:dyDescent="0.25">
      <c r="A835" s="146"/>
      <c r="B835" s="146"/>
      <c r="C835" s="146"/>
      <c r="D835" s="146"/>
      <c r="E835" s="146"/>
      <c r="F835" s="146"/>
      <c r="G835" s="146"/>
      <c r="H835" s="146"/>
      <c r="I835" s="146"/>
      <c r="J835" s="146"/>
      <c r="K835" s="146"/>
      <c r="L835" s="146"/>
      <c r="M835" s="146"/>
      <c r="N835" s="146"/>
      <c r="O835" s="146"/>
      <c r="P835" s="146"/>
      <c r="Q835" s="146"/>
      <c r="R835" s="146"/>
      <c r="S835" s="146"/>
      <c r="T835" s="146"/>
      <c r="U835" s="146"/>
      <c r="V835" s="146"/>
      <c r="W835" s="146"/>
      <c r="X835" s="146"/>
      <c r="Y835" s="146"/>
      <c r="Z835" s="146"/>
      <c r="AA835" s="146"/>
    </row>
    <row r="836" spans="1:27" ht="15.75" customHeight="1" x14ac:dyDescent="0.25">
      <c r="A836" s="146"/>
      <c r="B836" s="146"/>
      <c r="C836" s="146"/>
      <c r="D836" s="146"/>
      <c r="E836" s="146"/>
      <c r="F836" s="146"/>
      <c r="G836" s="146"/>
      <c r="H836" s="146"/>
      <c r="I836" s="146"/>
      <c r="J836" s="146"/>
      <c r="K836" s="146"/>
      <c r="L836" s="146"/>
      <c r="M836" s="146"/>
      <c r="N836" s="146"/>
      <c r="O836" s="146"/>
      <c r="P836" s="146"/>
      <c r="Q836" s="146"/>
      <c r="R836" s="146"/>
      <c r="S836" s="146"/>
      <c r="T836" s="146"/>
      <c r="U836" s="146"/>
      <c r="V836" s="146"/>
      <c r="W836" s="146"/>
      <c r="X836" s="146"/>
      <c r="Y836" s="146"/>
      <c r="Z836" s="146"/>
      <c r="AA836" s="146"/>
    </row>
    <row r="837" spans="1:27" ht="15.75" customHeight="1" x14ac:dyDescent="0.25">
      <c r="A837" s="146"/>
      <c r="B837" s="146"/>
      <c r="C837" s="146"/>
      <c r="D837" s="146"/>
      <c r="E837" s="146"/>
      <c r="F837" s="146"/>
      <c r="G837" s="146"/>
      <c r="H837" s="146"/>
      <c r="I837" s="146"/>
      <c r="J837" s="146"/>
      <c r="K837" s="146"/>
      <c r="L837" s="146"/>
      <c r="M837" s="146"/>
      <c r="N837" s="146"/>
      <c r="O837" s="146"/>
      <c r="P837" s="146"/>
      <c r="Q837" s="146"/>
      <c r="R837" s="146"/>
      <c r="S837" s="146"/>
      <c r="T837" s="146"/>
      <c r="U837" s="146"/>
      <c r="V837" s="146"/>
      <c r="W837" s="146"/>
      <c r="X837" s="146"/>
      <c r="Y837" s="146"/>
      <c r="Z837" s="146"/>
      <c r="AA837" s="146"/>
    </row>
    <row r="838" spans="1:27" ht="15.75" customHeight="1" x14ac:dyDescent="0.25">
      <c r="A838" s="146"/>
      <c r="B838" s="146"/>
      <c r="C838" s="146"/>
      <c r="D838" s="146"/>
      <c r="E838" s="146"/>
      <c r="F838" s="146"/>
      <c r="G838" s="146"/>
      <c r="H838" s="146"/>
      <c r="I838" s="146"/>
      <c r="J838" s="146"/>
      <c r="K838" s="146"/>
      <c r="L838" s="146"/>
      <c r="M838" s="146"/>
      <c r="N838" s="146"/>
      <c r="O838" s="146"/>
      <c r="P838" s="146"/>
      <c r="Q838" s="146"/>
      <c r="R838" s="146"/>
      <c r="S838" s="146"/>
      <c r="T838" s="146"/>
      <c r="U838" s="146"/>
      <c r="V838" s="146"/>
      <c r="W838" s="146"/>
      <c r="X838" s="146"/>
      <c r="Y838" s="146"/>
      <c r="Z838" s="146"/>
      <c r="AA838" s="146"/>
    </row>
    <row r="839" spans="1:27" ht="15.75" customHeight="1" x14ac:dyDescent="0.25">
      <c r="A839" s="146"/>
      <c r="B839" s="146"/>
      <c r="C839" s="146"/>
      <c r="D839" s="146"/>
      <c r="E839" s="146"/>
      <c r="F839" s="146"/>
      <c r="G839" s="146"/>
      <c r="H839" s="146"/>
      <c r="I839" s="146"/>
      <c r="J839" s="146"/>
      <c r="K839" s="146"/>
      <c r="L839" s="146"/>
      <c r="M839" s="146"/>
      <c r="N839" s="146"/>
      <c r="O839" s="146"/>
      <c r="P839" s="146"/>
      <c r="Q839" s="146"/>
      <c r="R839" s="146"/>
      <c r="S839" s="146"/>
      <c r="T839" s="146"/>
      <c r="U839" s="146"/>
      <c r="V839" s="146"/>
      <c r="W839" s="146"/>
      <c r="X839" s="146"/>
      <c r="Y839" s="146"/>
      <c r="Z839" s="146"/>
      <c r="AA839" s="146"/>
    </row>
    <row r="840" spans="1:27" ht="15.75" customHeight="1" x14ac:dyDescent="0.25">
      <c r="A840" s="146"/>
      <c r="B840" s="146"/>
      <c r="C840" s="146"/>
      <c r="D840" s="146"/>
      <c r="E840" s="146"/>
      <c r="F840" s="146"/>
      <c r="G840" s="146"/>
      <c r="H840" s="146"/>
      <c r="I840" s="146"/>
      <c r="J840" s="146"/>
      <c r="K840" s="146"/>
      <c r="L840" s="146"/>
      <c r="M840" s="146"/>
      <c r="N840" s="146"/>
      <c r="O840" s="146"/>
      <c r="P840" s="146"/>
      <c r="Q840" s="146"/>
      <c r="R840" s="146"/>
      <c r="S840" s="146"/>
      <c r="T840" s="146"/>
      <c r="U840" s="146"/>
      <c r="V840" s="146"/>
      <c r="W840" s="146"/>
      <c r="X840" s="146"/>
      <c r="Y840" s="146"/>
      <c r="Z840" s="146"/>
      <c r="AA840" s="146"/>
    </row>
    <row r="841" spans="1:27" ht="15.75" customHeight="1" x14ac:dyDescent="0.25">
      <c r="A841" s="146"/>
      <c r="B841" s="146"/>
      <c r="C841" s="146"/>
      <c r="D841" s="146"/>
      <c r="E841" s="146"/>
      <c r="F841" s="146"/>
      <c r="G841" s="146"/>
      <c r="H841" s="146"/>
      <c r="I841" s="146"/>
      <c r="J841" s="146"/>
      <c r="K841" s="146"/>
      <c r="L841" s="146"/>
      <c r="M841" s="146"/>
      <c r="N841" s="146"/>
      <c r="O841" s="146"/>
      <c r="P841" s="146"/>
      <c r="Q841" s="146"/>
      <c r="R841" s="146"/>
      <c r="S841" s="146"/>
      <c r="T841" s="146"/>
      <c r="U841" s="146"/>
      <c r="V841" s="146"/>
      <c r="W841" s="146"/>
      <c r="X841" s="146"/>
      <c r="Y841" s="146"/>
      <c r="Z841" s="146"/>
      <c r="AA841" s="146"/>
    </row>
    <row r="842" spans="1:27" ht="15.75" customHeight="1" x14ac:dyDescent="0.25">
      <c r="A842" s="146"/>
      <c r="B842" s="146"/>
      <c r="C842" s="146"/>
      <c r="D842" s="146"/>
      <c r="E842" s="146"/>
      <c r="F842" s="146"/>
      <c r="G842" s="146"/>
      <c r="H842" s="146"/>
      <c r="I842" s="146"/>
      <c r="J842" s="146"/>
      <c r="K842" s="146"/>
      <c r="L842" s="146"/>
      <c r="M842" s="146"/>
      <c r="N842" s="146"/>
      <c r="O842" s="146"/>
      <c r="P842" s="146"/>
      <c r="Q842" s="146"/>
      <c r="R842" s="146"/>
      <c r="S842" s="146"/>
      <c r="T842" s="146"/>
      <c r="U842" s="146"/>
      <c r="V842" s="146"/>
      <c r="W842" s="146"/>
      <c r="X842" s="146"/>
      <c r="Y842" s="146"/>
      <c r="Z842" s="146"/>
      <c r="AA842" s="146"/>
    </row>
    <row r="843" spans="1:27" ht="15.75" customHeight="1" x14ac:dyDescent="0.25">
      <c r="A843" s="146"/>
      <c r="B843" s="146"/>
      <c r="C843" s="146"/>
      <c r="D843" s="146"/>
      <c r="E843" s="146"/>
      <c r="F843" s="146"/>
      <c r="G843" s="146"/>
      <c r="H843" s="146"/>
      <c r="I843" s="146"/>
      <c r="J843" s="146"/>
      <c r="K843" s="146"/>
      <c r="L843" s="146"/>
      <c r="M843" s="146"/>
      <c r="N843" s="146"/>
      <c r="O843" s="146"/>
      <c r="P843" s="146"/>
      <c r="Q843" s="146"/>
      <c r="R843" s="146"/>
      <c r="S843" s="146"/>
      <c r="T843" s="146"/>
      <c r="U843" s="146"/>
      <c r="V843" s="146"/>
      <c r="W843" s="146"/>
      <c r="X843" s="146"/>
      <c r="Y843" s="146"/>
      <c r="Z843" s="146"/>
      <c r="AA843" s="146"/>
    </row>
    <row r="844" spans="1:27" ht="15.75" customHeight="1" x14ac:dyDescent="0.25">
      <c r="A844" s="146"/>
      <c r="B844" s="146"/>
      <c r="C844" s="146"/>
      <c r="D844" s="146"/>
      <c r="E844" s="146"/>
      <c r="F844" s="146"/>
      <c r="G844" s="146"/>
      <c r="H844" s="146"/>
      <c r="I844" s="146"/>
      <c r="J844" s="146"/>
      <c r="K844" s="146"/>
      <c r="L844" s="146"/>
      <c r="M844" s="146"/>
      <c r="N844" s="146"/>
      <c r="O844" s="146"/>
      <c r="P844" s="146"/>
      <c r="Q844" s="146"/>
      <c r="R844" s="146"/>
      <c r="S844" s="146"/>
      <c r="T844" s="146"/>
      <c r="U844" s="146"/>
      <c r="V844" s="146"/>
      <c r="W844" s="146"/>
      <c r="X844" s="146"/>
      <c r="Y844" s="146"/>
      <c r="Z844" s="146"/>
      <c r="AA844" s="146"/>
    </row>
    <row r="845" spans="1:27" ht="15.75" customHeight="1" x14ac:dyDescent="0.25">
      <c r="A845" s="146"/>
      <c r="B845" s="146"/>
      <c r="C845" s="146"/>
      <c r="D845" s="146"/>
      <c r="E845" s="146"/>
      <c r="F845" s="146"/>
      <c r="G845" s="146"/>
      <c r="H845" s="146"/>
      <c r="I845" s="146"/>
      <c r="J845" s="146"/>
      <c r="K845" s="146"/>
      <c r="L845" s="146"/>
      <c r="M845" s="146"/>
      <c r="N845" s="146"/>
      <c r="O845" s="146"/>
      <c r="P845" s="146"/>
      <c r="Q845" s="146"/>
      <c r="R845" s="146"/>
      <c r="S845" s="146"/>
      <c r="T845" s="146"/>
      <c r="U845" s="146"/>
      <c r="V845" s="146"/>
      <c r="W845" s="146"/>
      <c r="X845" s="146"/>
      <c r="Y845" s="146"/>
      <c r="Z845" s="146"/>
      <c r="AA845" s="146"/>
    </row>
    <row r="846" spans="1:27" ht="15.75" customHeight="1" x14ac:dyDescent="0.25">
      <c r="A846" s="146"/>
      <c r="B846" s="146"/>
      <c r="C846" s="146"/>
      <c r="D846" s="146"/>
      <c r="E846" s="146"/>
      <c r="F846" s="146"/>
      <c r="G846" s="146"/>
      <c r="H846" s="146"/>
      <c r="I846" s="146"/>
      <c r="J846" s="146"/>
      <c r="K846" s="146"/>
      <c r="L846" s="146"/>
      <c r="M846" s="146"/>
      <c r="N846" s="146"/>
      <c r="O846" s="146"/>
      <c r="P846" s="146"/>
      <c r="Q846" s="146"/>
      <c r="R846" s="146"/>
      <c r="S846" s="146"/>
      <c r="T846" s="146"/>
      <c r="U846" s="146"/>
      <c r="V846" s="146"/>
      <c r="W846" s="146"/>
      <c r="X846" s="146"/>
      <c r="Y846" s="146"/>
      <c r="Z846" s="146"/>
      <c r="AA846" s="146"/>
    </row>
    <row r="847" spans="1:27" ht="15.75" customHeight="1" x14ac:dyDescent="0.25">
      <c r="A847" s="146"/>
      <c r="B847" s="146"/>
      <c r="C847" s="146"/>
      <c r="D847" s="146"/>
      <c r="E847" s="146"/>
      <c r="F847" s="146"/>
      <c r="G847" s="146"/>
      <c r="H847" s="146"/>
      <c r="I847" s="146"/>
      <c r="J847" s="146"/>
      <c r="K847" s="146"/>
      <c r="L847" s="146"/>
      <c r="M847" s="146"/>
      <c r="N847" s="146"/>
      <c r="O847" s="146"/>
      <c r="P847" s="146"/>
      <c r="Q847" s="146"/>
      <c r="R847" s="146"/>
      <c r="S847" s="146"/>
      <c r="T847" s="146"/>
      <c r="U847" s="146"/>
      <c r="V847" s="146"/>
      <c r="W847" s="146"/>
      <c r="X847" s="146"/>
      <c r="Y847" s="146"/>
      <c r="Z847" s="146"/>
      <c r="AA847" s="146"/>
    </row>
    <row r="848" spans="1:27" ht="15.75" customHeight="1" x14ac:dyDescent="0.25">
      <c r="A848" s="146"/>
      <c r="B848" s="146"/>
      <c r="C848" s="146"/>
      <c r="D848" s="146"/>
      <c r="E848" s="146"/>
      <c r="F848" s="146"/>
      <c r="G848" s="146"/>
      <c r="H848" s="146"/>
      <c r="I848" s="146"/>
      <c r="J848" s="146"/>
      <c r="K848" s="146"/>
      <c r="L848" s="146"/>
      <c r="M848" s="146"/>
      <c r="N848" s="146"/>
      <c r="O848" s="146"/>
      <c r="P848" s="146"/>
      <c r="Q848" s="146"/>
      <c r="R848" s="146"/>
      <c r="S848" s="146"/>
      <c r="T848" s="146"/>
      <c r="U848" s="146"/>
      <c r="V848" s="146"/>
      <c r="W848" s="146"/>
      <c r="X848" s="146"/>
      <c r="Y848" s="146"/>
      <c r="Z848" s="146"/>
      <c r="AA848" s="146"/>
    </row>
    <row r="849" spans="1:27" ht="15.75" customHeight="1" x14ac:dyDescent="0.25">
      <c r="A849" s="146"/>
      <c r="B849" s="146"/>
      <c r="C849" s="146"/>
      <c r="D849" s="146"/>
      <c r="E849" s="146"/>
      <c r="F849" s="146"/>
      <c r="G849" s="146"/>
      <c r="H849" s="146"/>
      <c r="I849" s="146"/>
      <c r="J849" s="146"/>
      <c r="K849" s="146"/>
      <c r="L849" s="146"/>
      <c r="M849" s="146"/>
      <c r="N849" s="146"/>
      <c r="O849" s="146"/>
      <c r="P849" s="146"/>
      <c r="Q849" s="146"/>
      <c r="R849" s="146"/>
      <c r="S849" s="146"/>
      <c r="T849" s="146"/>
      <c r="U849" s="146"/>
      <c r="V849" s="146"/>
      <c r="W849" s="146"/>
      <c r="X849" s="146"/>
      <c r="Y849" s="146"/>
      <c r="Z849" s="146"/>
      <c r="AA849" s="146"/>
    </row>
    <row r="850" spans="1:27" ht="15.75" customHeight="1" x14ac:dyDescent="0.25">
      <c r="A850" s="146"/>
      <c r="B850" s="146"/>
      <c r="C850" s="146"/>
      <c r="D850" s="146"/>
      <c r="E850" s="146"/>
      <c r="F850" s="146"/>
      <c r="G850" s="146"/>
      <c r="H850" s="146"/>
      <c r="I850" s="146"/>
      <c r="J850" s="146"/>
      <c r="K850" s="146"/>
      <c r="L850" s="146"/>
      <c r="M850" s="146"/>
      <c r="N850" s="146"/>
      <c r="O850" s="146"/>
      <c r="P850" s="146"/>
      <c r="Q850" s="146"/>
      <c r="R850" s="146"/>
      <c r="S850" s="146"/>
      <c r="T850" s="146"/>
      <c r="U850" s="146"/>
      <c r="V850" s="146"/>
      <c r="W850" s="146"/>
      <c r="X850" s="146"/>
      <c r="Y850" s="146"/>
      <c r="Z850" s="146"/>
      <c r="AA850" s="146"/>
    </row>
    <row r="851" spans="1:27" ht="15.75" customHeight="1" x14ac:dyDescent="0.25">
      <c r="A851" s="146"/>
      <c r="B851" s="146"/>
      <c r="C851" s="146"/>
      <c r="D851" s="146"/>
      <c r="E851" s="146"/>
      <c r="F851" s="146"/>
      <c r="G851" s="146"/>
      <c r="H851" s="146"/>
      <c r="I851" s="146"/>
      <c r="J851" s="146"/>
      <c r="K851" s="146"/>
      <c r="L851" s="146"/>
      <c r="M851" s="146"/>
      <c r="N851" s="146"/>
      <c r="O851" s="146"/>
      <c r="P851" s="146"/>
      <c r="Q851" s="146"/>
      <c r="R851" s="146"/>
      <c r="S851" s="146"/>
      <c r="T851" s="146"/>
      <c r="U851" s="146"/>
      <c r="V851" s="146"/>
      <c r="W851" s="146"/>
      <c r="X851" s="146"/>
      <c r="Y851" s="146"/>
      <c r="Z851" s="146"/>
      <c r="AA851" s="146"/>
    </row>
    <row r="852" spans="1:27" ht="15.75" customHeight="1" x14ac:dyDescent="0.25">
      <c r="A852" s="146"/>
      <c r="B852" s="146"/>
      <c r="C852" s="146"/>
      <c r="D852" s="146"/>
      <c r="E852" s="146"/>
      <c r="F852" s="146"/>
      <c r="G852" s="146"/>
      <c r="H852" s="146"/>
      <c r="I852" s="146"/>
      <c r="J852" s="146"/>
      <c r="K852" s="146"/>
      <c r="L852" s="146"/>
      <c r="M852" s="146"/>
      <c r="N852" s="146"/>
      <c r="O852" s="146"/>
      <c r="P852" s="146"/>
      <c r="Q852" s="146"/>
      <c r="R852" s="146"/>
      <c r="S852" s="146"/>
      <c r="T852" s="146"/>
      <c r="U852" s="146"/>
      <c r="V852" s="146"/>
      <c r="W852" s="146"/>
      <c r="X852" s="146"/>
      <c r="Y852" s="146"/>
      <c r="Z852" s="146"/>
      <c r="AA852" s="146"/>
    </row>
    <row r="853" spans="1:27" ht="15.75" customHeight="1" x14ac:dyDescent="0.25">
      <c r="A853" s="146"/>
      <c r="B853" s="146"/>
      <c r="C853" s="146"/>
      <c r="D853" s="146"/>
      <c r="E853" s="146"/>
      <c r="F853" s="146"/>
      <c r="G853" s="146"/>
      <c r="H853" s="146"/>
      <c r="I853" s="146"/>
      <c r="J853" s="146"/>
      <c r="K853" s="146"/>
      <c r="L853" s="146"/>
      <c r="M853" s="146"/>
      <c r="N853" s="146"/>
      <c r="O853" s="146"/>
      <c r="P853" s="146"/>
      <c r="Q853" s="146"/>
      <c r="R853" s="146"/>
      <c r="S853" s="146"/>
      <c r="T853" s="146"/>
      <c r="U853" s="146"/>
      <c r="V853" s="146"/>
      <c r="W853" s="146"/>
      <c r="X853" s="146"/>
      <c r="Y853" s="146"/>
      <c r="Z853" s="146"/>
      <c r="AA853" s="146"/>
    </row>
    <row r="854" spans="1:27" ht="15.75" customHeight="1" x14ac:dyDescent="0.25">
      <c r="A854" s="146"/>
      <c r="B854" s="146"/>
      <c r="C854" s="146"/>
      <c r="D854" s="146"/>
      <c r="E854" s="146"/>
      <c r="F854" s="146"/>
      <c r="G854" s="146"/>
      <c r="H854" s="146"/>
      <c r="I854" s="146"/>
      <c r="J854" s="146"/>
      <c r="K854" s="146"/>
      <c r="L854" s="146"/>
      <c r="M854" s="146"/>
      <c r="N854" s="146"/>
      <c r="O854" s="146"/>
      <c r="P854" s="146"/>
      <c r="Q854" s="146"/>
      <c r="R854" s="146"/>
      <c r="S854" s="146"/>
      <c r="T854" s="146"/>
      <c r="U854" s="146"/>
      <c r="V854" s="146"/>
      <c r="W854" s="146"/>
      <c r="X854" s="146"/>
      <c r="Y854" s="146"/>
      <c r="Z854" s="146"/>
      <c r="AA854" s="146"/>
    </row>
    <row r="855" spans="1:27" ht="15.75" customHeight="1" x14ac:dyDescent="0.25">
      <c r="A855" s="146"/>
      <c r="B855" s="146"/>
      <c r="C855" s="146"/>
      <c r="D855" s="146"/>
      <c r="E855" s="146"/>
      <c r="F855" s="146"/>
      <c r="G855" s="146"/>
      <c r="H855" s="146"/>
      <c r="I855" s="146"/>
      <c r="J855" s="146"/>
      <c r="K855" s="146"/>
      <c r="L855" s="146"/>
      <c r="M855" s="146"/>
      <c r="N855" s="146"/>
      <c r="O855" s="146"/>
      <c r="P855" s="146"/>
      <c r="Q855" s="146"/>
      <c r="R855" s="146"/>
      <c r="S855" s="146"/>
      <c r="T855" s="146"/>
      <c r="U855" s="146"/>
      <c r="V855" s="146"/>
      <c r="W855" s="146"/>
      <c r="X855" s="146"/>
      <c r="Y855" s="146"/>
      <c r="Z855" s="146"/>
      <c r="AA855" s="146"/>
    </row>
    <row r="856" spans="1:27" ht="15.75" customHeight="1" x14ac:dyDescent="0.25">
      <c r="A856" s="146"/>
      <c r="B856" s="146"/>
      <c r="C856" s="146"/>
      <c r="D856" s="146"/>
      <c r="E856" s="146"/>
      <c r="F856" s="146"/>
      <c r="G856" s="146"/>
      <c r="H856" s="146"/>
      <c r="I856" s="146"/>
      <c r="J856" s="146"/>
      <c r="K856" s="146"/>
      <c r="L856" s="146"/>
      <c r="M856" s="146"/>
      <c r="N856" s="146"/>
      <c r="O856" s="146"/>
      <c r="P856" s="146"/>
      <c r="Q856" s="146"/>
      <c r="R856" s="146"/>
      <c r="S856" s="146"/>
      <c r="T856" s="146"/>
      <c r="U856" s="146"/>
      <c r="V856" s="146"/>
      <c r="W856" s="146"/>
      <c r="X856" s="146"/>
      <c r="Y856" s="146"/>
      <c r="Z856" s="146"/>
      <c r="AA856" s="146"/>
    </row>
    <row r="857" spans="1:27" ht="15.75" customHeight="1" x14ac:dyDescent="0.25">
      <c r="A857" s="146"/>
      <c r="B857" s="146"/>
      <c r="C857" s="146"/>
      <c r="D857" s="146"/>
      <c r="E857" s="146"/>
      <c r="F857" s="146"/>
      <c r="G857" s="146"/>
      <c r="H857" s="146"/>
      <c r="I857" s="146"/>
      <c r="J857" s="146"/>
      <c r="K857" s="146"/>
      <c r="L857" s="146"/>
      <c r="M857" s="146"/>
      <c r="N857" s="146"/>
      <c r="O857" s="146"/>
      <c r="P857" s="146"/>
      <c r="Q857" s="146"/>
      <c r="R857" s="146"/>
      <c r="S857" s="146"/>
      <c r="T857" s="146"/>
      <c r="U857" s="146"/>
      <c r="V857" s="146"/>
      <c r="W857" s="146"/>
      <c r="X857" s="146"/>
      <c r="Y857" s="146"/>
      <c r="Z857" s="146"/>
      <c r="AA857" s="146"/>
    </row>
    <row r="858" spans="1:27" ht="15.75" customHeight="1" x14ac:dyDescent="0.25">
      <c r="A858" s="146"/>
      <c r="B858" s="146"/>
      <c r="C858" s="146"/>
      <c r="D858" s="146"/>
      <c r="E858" s="146"/>
      <c r="F858" s="146"/>
      <c r="G858" s="146"/>
      <c r="H858" s="146"/>
      <c r="I858" s="146"/>
      <c r="J858" s="146"/>
      <c r="K858" s="146"/>
      <c r="L858" s="146"/>
      <c r="M858" s="146"/>
      <c r="N858" s="146"/>
      <c r="O858" s="146"/>
      <c r="P858" s="146"/>
      <c r="Q858" s="146"/>
      <c r="R858" s="146"/>
      <c r="S858" s="146"/>
      <c r="T858" s="146"/>
      <c r="U858" s="146"/>
      <c r="V858" s="146"/>
      <c r="W858" s="146"/>
      <c r="X858" s="146"/>
      <c r="Y858" s="146"/>
      <c r="Z858" s="146"/>
      <c r="AA858" s="146"/>
    </row>
    <row r="859" spans="1:27" ht="15.75" customHeight="1" x14ac:dyDescent="0.25">
      <c r="A859" s="146"/>
      <c r="B859" s="146"/>
      <c r="C859" s="146"/>
      <c r="D859" s="146"/>
      <c r="E859" s="146"/>
      <c r="F859" s="146"/>
      <c r="G859" s="146"/>
      <c r="H859" s="146"/>
      <c r="I859" s="146"/>
      <c r="J859" s="146"/>
      <c r="K859" s="146"/>
      <c r="L859" s="146"/>
      <c r="M859" s="146"/>
      <c r="N859" s="146"/>
      <c r="O859" s="146"/>
      <c r="P859" s="146"/>
      <c r="Q859" s="146"/>
      <c r="R859" s="146"/>
      <c r="S859" s="146"/>
      <c r="T859" s="146"/>
      <c r="U859" s="146"/>
      <c r="V859" s="146"/>
      <c r="W859" s="146"/>
      <c r="X859" s="146"/>
      <c r="Y859" s="146"/>
      <c r="Z859" s="146"/>
      <c r="AA859" s="146"/>
    </row>
    <row r="860" spans="1:27" ht="15.75" customHeight="1" x14ac:dyDescent="0.25">
      <c r="A860" s="146"/>
      <c r="B860" s="146"/>
      <c r="C860" s="146"/>
      <c r="D860" s="146"/>
      <c r="E860" s="146"/>
      <c r="F860" s="146"/>
      <c r="G860" s="146"/>
      <c r="H860" s="146"/>
      <c r="I860" s="146"/>
      <c r="J860" s="146"/>
      <c r="K860" s="146"/>
      <c r="L860" s="146"/>
      <c r="M860" s="146"/>
      <c r="N860" s="146"/>
      <c r="O860" s="146"/>
      <c r="P860" s="146"/>
      <c r="Q860" s="146"/>
      <c r="R860" s="146"/>
      <c r="S860" s="146"/>
      <c r="T860" s="146"/>
      <c r="U860" s="146"/>
      <c r="V860" s="146"/>
      <c r="W860" s="146"/>
      <c r="X860" s="146"/>
      <c r="Y860" s="146"/>
      <c r="Z860" s="146"/>
      <c r="AA860" s="146"/>
    </row>
    <row r="861" spans="1:27" ht="15.75" customHeight="1" x14ac:dyDescent="0.25">
      <c r="A861" s="146"/>
      <c r="B861" s="146"/>
      <c r="C861" s="146"/>
      <c r="D861" s="146"/>
      <c r="E861" s="146"/>
      <c r="F861" s="146"/>
      <c r="G861" s="146"/>
      <c r="H861" s="146"/>
      <c r="I861" s="146"/>
      <c r="J861" s="146"/>
      <c r="K861" s="146"/>
      <c r="L861" s="146"/>
      <c r="M861" s="146"/>
      <c r="N861" s="146"/>
      <c r="O861" s="146"/>
      <c r="P861" s="146"/>
      <c r="Q861" s="146"/>
      <c r="R861" s="146"/>
      <c r="S861" s="146"/>
      <c r="T861" s="146"/>
      <c r="U861" s="146"/>
      <c r="V861" s="146"/>
      <c r="W861" s="146"/>
      <c r="X861" s="146"/>
      <c r="Y861" s="146"/>
      <c r="Z861" s="146"/>
      <c r="AA861" s="146"/>
    </row>
    <row r="862" spans="1:27" ht="15.75" customHeight="1" x14ac:dyDescent="0.25">
      <c r="A862" s="146"/>
      <c r="B862" s="146"/>
      <c r="C862" s="146"/>
      <c r="D862" s="146"/>
      <c r="E862" s="146"/>
      <c r="F862" s="146"/>
      <c r="G862" s="146"/>
      <c r="H862" s="146"/>
      <c r="I862" s="146"/>
      <c r="J862" s="146"/>
      <c r="K862" s="146"/>
      <c r="L862" s="146"/>
      <c r="M862" s="146"/>
      <c r="N862" s="146"/>
      <c r="O862" s="146"/>
      <c r="P862" s="146"/>
      <c r="Q862" s="146"/>
      <c r="R862" s="146"/>
      <c r="S862" s="146"/>
      <c r="T862" s="146"/>
      <c r="U862" s="146"/>
      <c r="V862" s="146"/>
      <c r="W862" s="146"/>
      <c r="X862" s="146"/>
      <c r="Y862" s="146"/>
      <c r="Z862" s="146"/>
      <c r="AA862" s="146"/>
    </row>
    <row r="863" spans="1:27" ht="15.75" customHeight="1" x14ac:dyDescent="0.25">
      <c r="A863" s="146"/>
      <c r="B863" s="146"/>
      <c r="C863" s="146"/>
      <c r="D863" s="146"/>
      <c r="E863" s="146"/>
      <c r="F863" s="146"/>
      <c r="G863" s="146"/>
      <c r="H863" s="146"/>
      <c r="I863" s="146"/>
      <c r="J863" s="146"/>
      <c r="K863" s="146"/>
      <c r="L863" s="146"/>
      <c r="M863" s="146"/>
      <c r="N863" s="146"/>
      <c r="O863" s="146"/>
      <c r="P863" s="146"/>
      <c r="Q863" s="146"/>
      <c r="R863" s="146"/>
      <c r="S863" s="146"/>
      <c r="T863" s="146"/>
      <c r="U863" s="146"/>
      <c r="V863" s="146"/>
      <c r="W863" s="146"/>
      <c r="X863" s="146"/>
      <c r="Y863" s="146"/>
      <c r="Z863" s="146"/>
      <c r="AA863" s="146"/>
    </row>
    <row r="864" spans="1:27" ht="15.75" customHeight="1" x14ac:dyDescent="0.25">
      <c r="A864" s="146"/>
      <c r="B864" s="146"/>
      <c r="C864" s="146"/>
      <c r="D864" s="146"/>
      <c r="E864" s="146"/>
      <c r="F864" s="146"/>
      <c r="G864" s="146"/>
      <c r="H864" s="146"/>
      <c r="I864" s="146"/>
      <c r="J864" s="146"/>
      <c r="K864" s="146"/>
      <c r="L864" s="146"/>
      <c r="M864" s="146"/>
      <c r="N864" s="146"/>
      <c r="O864" s="146"/>
      <c r="P864" s="146"/>
      <c r="Q864" s="146"/>
      <c r="R864" s="146"/>
      <c r="S864" s="146"/>
      <c r="T864" s="146"/>
      <c r="U864" s="146"/>
      <c r="V864" s="146"/>
      <c r="W864" s="146"/>
      <c r="X864" s="146"/>
      <c r="Y864" s="146"/>
      <c r="Z864" s="146"/>
      <c r="AA864" s="146"/>
    </row>
    <row r="865" spans="1:27" ht="15.75" customHeight="1" x14ac:dyDescent="0.25">
      <c r="A865" s="146"/>
      <c r="B865" s="146"/>
      <c r="C865" s="146"/>
      <c r="D865" s="146"/>
      <c r="E865" s="146"/>
      <c r="F865" s="146"/>
      <c r="G865" s="146"/>
      <c r="H865" s="146"/>
      <c r="I865" s="146"/>
      <c r="J865" s="146"/>
      <c r="K865" s="146"/>
      <c r="L865" s="146"/>
      <c r="M865" s="146"/>
      <c r="N865" s="146"/>
      <c r="O865" s="146"/>
      <c r="P865" s="146"/>
      <c r="Q865" s="146"/>
      <c r="R865" s="146"/>
      <c r="S865" s="146"/>
      <c r="T865" s="146"/>
      <c r="U865" s="146"/>
      <c r="V865" s="146"/>
      <c r="W865" s="146"/>
      <c r="X865" s="146"/>
      <c r="Y865" s="146"/>
      <c r="Z865" s="146"/>
      <c r="AA865" s="146"/>
    </row>
    <row r="866" spans="1:27" ht="15.75" customHeight="1" x14ac:dyDescent="0.25">
      <c r="A866" s="146"/>
      <c r="B866" s="146"/>
      <c r="C866" s="146"/>
      <c r="D866" s="146"/>
      <c r="E866" s="146"/>
      <c r="F866" s="146"/>
      <c r="G866" s="146"/>
      <c r="H866" s="146"/>
      <c r="I866" s="146"/>
      <c r="J866" s="146"/>
      <c r="K866" s="146"/>
      <c r="L866" s="146"/>
      <c r="M866" s="146"/>
      <c r="N866" s="146"/>
      <c r="O866" s="146"/>
      <c r="P866" s="146"/>
      <c r="Q866" s="146"/>
      <c r="R866" s="146"/>
      <c r="S866" s="146"/>
      <c r="T866" s="146"/>
      <c r="U866" s="146"/>
      <c r="V866" s="146"/>
      <c r="W866" s="146"/>
      <c r="X866" s="146"/>
      <c r="Y866" s="146"/>
      <c r="Z866" s="146"/>
      <c r="AA866" s="146"/>
    </row>
    <row r="867" spans="1:27" ht="15.75" customHeight="1" x14ac:dyDescent="0.25">
      <c r="A867" s="146"/>
      <c r="B867" s="146"/>
      <c r="C867" s="146"/>
      <c r="D867" s="146"/>
      <c r="E867" s="146"/>
      <c r="F867" s="146"/>
      <c r="G867" s="146"/>
      <c r="H867" s="146"/>
      <c r="I867" s="146"/>
      <c r="J867" s="146"/>
      <c r="K867" s="146"/>
      <c r="L867" s="146"/>
      <c r="M867" s="146"/>
      <c r="N867" s="146"/>
      <c r="O867" s="146"/>
      <c r="P867" s="146"/>
      <c r="Q867" s="146"/>
      <c r="R867" s="146"/>
      <c r="S867" s="146"/>
      <c r="T867" s="146"/>
      <c r="U867" s="146"/>
      <c r="V867" s="146"/>
      <c r="W867" s="146"/>
      <c r="X867" s="146"/>
      <c r="Y867" s="146"/>
      <c r="Z867" s="146"/>
      <c r="AA867" s="146"/>
    </row>
    <row r="868" spans="1:27" ht="15.75" customHeight="1" x14ac:dyDescent="0.25">
      <c r="A868" s="146"/>
      <c r="B868" s="146"/>
      <c r="C868" s="146"/>
      <c r="D868" s="146"/>
      <c r="E868" s="146"/>
      <c r="F868" s="146"/>
      <c r="G868" s="146"/>
      <c r="H868" s="146"/>
      <c r="I868" s="146"/>
      <c r="J868" s="146"/>
      <c r="K868" s="146"/>
      <c r="L868" s="146"/>
      <c r="M868" s="146"/>
      <c r="N868" s="146"/>
      <c r="O868" s="146"/>
      <c r="P868" s="146"/>
      <c r="Q868" s="146"/>
      <c r="R868" s="146"/>
      <c r="S868" s="146"/>
      <c r="T868" s="146"/>
      <c r="U868" s="146"/>
      <c r="V868" s="146"/>
      <c r="W868" s="146"/>
      <c r="X868" s="146"/>
      <c r="Y868" s="146"/>
      <c r="Z868" s="146"/>
      <c r="AA868" s="146"/>
    </row>
    <row r="869" spans="1:27" ht="15.75" customHeight="1" x14ac:dyDescent="0.25">
      <c r="A869" s="146"/>
      <c r="B869" s="146"/>
      <c r="C869" s="146"/>
      <c r="D869" s="146"/>
      <c r="E869" s="146"/>
      <c r="F869" s="146"/>
      <c r="G869" s="146"/>
      <c r="H869" s="146"/>
      <c r="I869" s="146"/>
      <c r="J869" s="146"/>
      <c r="K869" s="146"/>
      <c r="L869" s="146"/>
      <c r="M869" s="146"/>
      <c r="N869" s="146"/>
      <c r="O869" s="146"/>
      <c r="P869" s="146"/>
      <c r="Q869" s="146"/>
      <c r="R869" s="146"/>
      <c r="S869" s="146"/>
      <c r="T869" s="146"/>
      <c r="U869" s="146"/>
      <c r="V869" s="146"/>
      <c r="W869" s="146"/>
      <c r="X869" s="146"/>
      <c r="Y869" s="146"/>
      <c r="Z869" s="146"/>
      <c r="AA869" s="146"/>
    </row>
    <row r="870" spans="1:27" ht="15.75" customHeight="1" x14ac:dyDescent="0.25">
      <c r="A870" s="146"/>
      <c r="B870" s="146"/>
      <c r="C870" s="146"/>
      <c r="D870" s="146"/>
      <c r="E870" s="146"/>
      <c r="F870" s="146"/>
      <c r="G870" s="146"/>
      <c r="H870" s="146"/>
      <c r="I870" s="146"/>
      <c r="J870" s="146"/>
      <c r="K870" s="146"/>
      <c r="L870" s="146"/>
      <c r="M870" s="146"/>
      <c r="N870" s="146"/>
      <c r="O870" s="146"/>
      <c r="P870" s="146"/>
      <c r="Q870" s="146"/>
      <c r="R870" s="146"/>
      <c r="S870" s="146"/>
      <c r="T870" s="146"/>
      <c r="U870" s="146"/>
      <c r="V870" s="146"/>
      <c r="W870" s="146"/>
      <c r="X870" s="146"/>
      <c r="Y870" s="146"/>
      <c r="Z870" s="146"/>
      <c r="AA870" s="146"/>
    </row>
    <row r="871" spans="1:27" ht="15.75" customHeight="1" x14ac:dyDescent="0.25">
      <c r="A871" s="146"/>
      <c r="B871" s="146"/>
      <c r="C871" s="146"/>
      <c r="D871" s="146"/>
      <c r="E871" s="146"/>
      <c r="F871" s="146"/>
      <c r="G871" s="146"/>
      <c r="H871" s="146"/>
      <c r="I871" s="146"/>
      <c r="J871" s="146"/>
      <c r="K871" s="146"/>
      <c r="L871" s="146"/>
      <c r="M871" s="146"/>
      <c r="N871" s="146"/>
      <c r="O871" s="146"/>
      <c r="P871" s="146"/>
      <c r="Q871" s="146"/>
      <c r="R871" s="146"/>
      <c r="S871" s="146"/>
      <c r="T871" s="146"/>
      <c r="U871" s="146"/>
      <c r="V871" s="146"/>
      <c r="W871" s="146"/>
      <c r="X871" s="146"/>
      <c r="Y871" s="146"/>
      <c r="Z871" s="146"/>
      <c r="AA871" s="146"/>
    </row>
    <row r="872" spans="1:27" ht="15.75" customHeight="1" x14ac:dyDescent="0.25">
      <c r="A872" s="146"/>
      <c r="B872" s="146"/>
      <c r="C872" s="146"/>
      <c r="D872" s="146"/>
      <c r="E872" s="146"/>
      <c r="F872" s="146"/>
      <c r="G872" s="146"/>
      <c r="H872" s="146"/>
      <c r="I872" s="146"/>
      <c r="J872" s="146"/>
      <c r="K872" s="146"/>
      <c r="L872" s="146"/>
      <c r="M872" s="146"/>
      <c r="N872" s="146"/>
      <c r="O872" s="146"/>
      <c r="P872" s="146"/>
      <c r="Q872" s="146"/>
      <c r="R872" s="146"/>
      <c r="S872" s="146"/>
      <c r="T872" s="146"/>
      <c r="U872" s="146"/>
      <c r="V872" s="146"/>
      <c r="W872" s="146"/>
      <c r="X872" s="146"/>
      <c r="Y872" s="146"/>
      <c r="Z872" s="146"/>
      <c r="AA872" s="146"/>
    </row>
    <row r="873" spans="1:27" ht="15.75" customHeight="1" x14ac:dyDescent="0.25">
      <c r="A873" s="146"/>
      <c r="B873" s="146"/>
      <c r="C873" s="146"/>
      <c r="D873" s="146"/>
      <c r="E873" s="146"/>
      <c r="F873" s="146"/>
      <c r="G873" s="146"/>
      <c r="H873" s="146"/>
      <c r="I873" s="146"/>
      <c r="J873" s="146"/>
      <c r="K873" s="146"/>
      <c r="L873" s="146"/>
      <c r="M873" s="146"/>
      <c r="N873" s="146"/>
      <c r="O873" s="146"/>
      <c r="P873" s="146"/>
      <c r="Q873" s="146"/>
      <c r="R873" s="146"/>
      <c r="S873" s="146"/>
      <c r="T873" s="146"/>
      <c r="U873" s="146"/>
      <c r="V873" s="146"/>
      <c r="W873" s="146"/>
      <c r="X873" s="146"/>
      <c r="Y873" s="146"/>
      <c r="Z873" s="146"/>
      <c r="AA873" s="146"/>
    </row>
    <row r="874" spans="1:27" ht="15.75" customHeight="1" x14ac:dyDescent="0.25">
      <c r="A874" s="146"/>
      <c r="B874" s="146"/>
      <c r="C874" s="146"/>
      <c r="D874" s="146"/>
      <c r="E874" s="146"/>
      <c r="F874" s="146"/>
      <c r="G874" s="146"/>
      <c r="H874" s="146"/>
      <c r="I874" s="146"/>
      <c r="J874" s="146"/>
      <c r="K874" s="146"/>
      <c r="L874" s="146"/>
      <c r="M874" s="146"/>
      <c r="N874" s="146"/>
      <c r="O874" s="146"/>
      <c r="P874" s="146"/>
      <c r="Q874" s="146"/>
      <c r="R874" s="146"/>
      <c r="S874" s="146"/>
      <c r="T874" s="146"/>
      <c r="U874" s="146"/>
      <c r="V874" s="146"/>
      <c r="W874" s="146"/>
      <c r="X874" s="146"/>
      <c r="Y874" s="146"/>
      <c r="Z874" s="146"/>
      <c r="AA874" s="146"/>
    </row>
    <row r="875" spans="1:27" ht="15.75" customHeight="1" x14ac:dyDescent="0.25">
      <c r="A875" s="146"/>
      <c r="B875" s="146"/>
      <c r="C875" s="146"/>
      <c r="D875" s="146"/>
      <c r="E875" s="146"/>
      <c r="F875" s="146"/>
      <c r="G875" s="146"/>
      <c r="H875" s="146"/>
      <c r="I875" s="146"/>
      <c r="J875" s="146"/>
      <c r="K875" s="146"/>
      <c r="L875" s="146"/>
      <c r="M875" s="146"/>
      <c r="N875" s="146"/>
      <c r="O875" s="146"/>
      <c r="P875" s="146"/>
      <c r="Q875" s="146"/>
      <c r="R875" s="146"/>
      <c r="S875" s="146"/>
      <c r="T875" s="146"/>
      <c r="U875" s="146"/>
      <c r="V875" s="146"/>
      <c r="W875" s="146"/>
      <c r="X875" s="146"/>
      <c r="Y875" s="146"/>
      <c r="Z875" s="146"/>
      <c r="AA875" s="146"/>
    </row>
    <row r="876" spans="1:27" ht="15.75" customHeight="1" x14ac:dyDescent="0.25">
      <c r="A876" s="146"/>
      <c r="B876" s="146"/>
      <c r="C876" s="146"/>
      <c r="D876" s="146"/>
      <c r="E876" s="146"/>
      <c r="F876" s="146"/>
      <c r="G876" s="146"/>
      <c r="H876" s="146"/>
      <c r="I876" s="146"/>
      <c r="J876" s="146"/>
      <c r="K876" s="146"/>
      <c r="L876" s="146"/>
      <c r="M876" s="146"/>
      <c r="N876" s="146"/>
      <c r="O876" s="146"/>
      <c r="P876" s="146"/>
      <c r="Q876" s="146"/>
      <c r="R876" s="146"/>
      <c r="S876" s="146"/>
      <c r="T876" s="146"/>
      <c r="U876" s="146"/>
      <c r="V876" s="146"/>
      <c r="W876" s="146"/>
      <c r="X876" s="146"/>
      <c r="Y876" s="146"/>
      <c r="Z876" s="146"/>
      <c r="AA876" s="146"/>
    </row>
    <row r="877" spans="1:27" ht="15.75" customHeight="1" x14ac:dyDescent="0.25">
      <c r="A877" s="146"/>
      <c r="B877" s="146"/>
      <c r="C877" s="146"/>
      <c r="D877" s="146"/>
      <c r="E877" s="146"/>
      <c r="F877" s="146"/>
      <c r="G877" s="146"/>
      <c r="H877" s="146"/>
      <c r="I877" s="146"/>
      <c r="J877" s="146"/>
      <c r="K877" s="146"/>
      <c r="L877" s="146"/>
      <c r="M877" s="146"/>
      <c r="N877" s="146"/>
      <c r="O877" s="146"/>
      <c r="P877" s="146"/>
      <c r="Q877" s="146"/>
      <c r="R877" s="146"/>
      <c r="S877" s="146"/>
      <c r="T877" s="146"/>
      <c r="U877" s="146"/>
      <c r="V877" s="146"/>
      <c r="W877" s="146"/>
      <c r="X877" s="146"/>
      <c r="Y877" s="146"/>
      <c r="Z877" s="146"/>
      <c r="AA877" s="146"/>
    </row>
    <row r="878" spans="1:27" ht="15.75" customHeight="1" x14ac:dyDescent="0.25">
      <c r="A878" s="146"/>
      <c r="B878" s="146"/>
      <c r="C878" s="146"/>
      <c r="D878" s="146"/>
      <c r="E878" s="146"/>
      <c r="F878" s="146"/>
      <c r="G878" s="146"/>
      <c r="H878" s="146"/>
      <c r="I878" s="146"/>
      <c r="J878" s="146"/>
      <c r="K878" s="146"/>
      <c r="L878" s="146"/>
      <c r="M878" s="146"/>
      <c r="N878" s="146"/>
      <c r="O878" s="146"/>
      <c r="P878" s="146"/>
      <c r="Q878" s="146"/>
      <c r="R878" s="146"/>
      <c r="S878" s="146"/>
      <c r="T878" s="146"/>
      <c r="U878" s="146"/>
      <c r="V878" s="146"/>
      <c r="W878" s="146"/>
      <c r="X878" s="146"/>
      <c r="Y878" s="146"/>
      <c r="Z878" s="146"/>
      <c r="AA878" s="146"/>
    </row>
    <row r="879" spans="1:27" ht="15.75" customHeight="1" x14ac:dyDescent="0.25">
      <c r="A879" s="146"/>
      <c r="B879" s="146"/>
      <c r="C879" s="146"/>
      <c r="D879" s="146"/>
      <c r="E879" s="146"/>
      <c r="F879" s="146"/>
      <c r="G879" s="146"/>
      <c r="H879" s="146"/>
      <c r="I879" s="146"/>
      <c r="J879" s="146"/>
      <c r="K879" s="146"/>
      <c r="L879" s="146"/>
      <c r="M879" s="146"/>
      <c r="N879" s="146"/>
      <c r="O879" s="146"/>
      <c r="P879" s="146"/>
      <c r="Q879" s="146"/>
      <c r="R879" s="146"/>
      <c r="S879" s="146"/>
      <c r="T879" s="146"/>
      <c r="U879" s="146"/>
      <c r="V879" s="146"/>
      <c r="W879" s="146"/>
      <c r="X879" s="146"/>
      <c r="Y879" s="146"/>
      <c r="Z879" s="146"/>
      <c r="AA879" s="146"/>
    </row>
    <row r="880" spans="1:27" ht="15.75" customHeight="1" x14ac:dyDescent="0.25">
      <c r="A880" s="146"/>
      <c r="B880" s="146"/>
      <c r="C880" s="146"/>
      <c r="D880" s="146"/>
      <c r="E880" s="146"/>
      <c r="F880" s="146"/>
      <c r="G880" s="146"/>
      <c r="H880" s="146"/>
      <c r="I880" s="146"/>
      <c r="J880" s="146"/>
      <c r="K880" s="146"/>
      <c r="L880" s="146"/>
      <c r="M880" s="146"/>
      <c r="N880" s="146"/>
      <c r="O880" s="146"/>
      <c r="P880" s="146"/>
      <c r="Q880" s="146"/>
      <c r="R880" s="146"/>
      <c r="S880" s="146"/>
      <c r="T880" s="146"/>
      <c r="U880" s="146"/>
      <c r="V880" s="146"/>
      <c r="W880" s="146"/>
      <c r="X880" s="146"/>
      <c r="Y880" s="146"/>
      <c r="Z880" s="146"/>
      <c r="AA880" s="146"/>
    </row>
    <row r="881" spans="1:27" ht="15.75" customHeight="1" x14ac:dyDescent="0.25">
      <c r="A881" s="146"/>
      <c r="B881" s="146"/>
      <c r="C881" s="146"/>
      <c r="D881" s="146"/>
      <c r="E881" s="146"/>
      <c r="F881" s="146"/>
      <c r="G881" s="146"/>
      <c r="H881" s="146"/>
      <c r="I881" s="146"/>
      <c r="J881" s="146"/>
      <c r="K881" s="146"/>
      <c r="L881" s="146"/>
      <c r="M881" s="146"/>
      <c r="N881" s="146"/>
      <c r="O881" s="146"/>
      <c r="P881" s="146"/>
      <c r="Q881" s="146"/>
      <c r="R881" s="146"/>
      <c r="S881" s="146"/>
      <c r="T881" s="146"/>
      <c r="U881" s="146"/>
      <c r="V881" s="146"/>
      <c r="W881" s="146"/>
      <c r="X881" s="146"/>
      <c r="Y881" s="146"/>
      <c r="Z881" s="146"/>
      <c r="AA881" s="146"/>
    </row>
    <row r="882" spans="1:27" ht="15.75" customHeight="1" x14ac:dyDescent="0.25">
      <c r="A882" s="146"/>
      <c r="B882" s="146"/>
      <c r="C882" s="146"/>
      <c r="D882" s="146"/>
      <c r="E882" s="146"/>
      <c r="F882" s="146"/>
      <c r="G882" s="146"/>
      <c r="H882" s="146"/>
      <c r="I882" s="146"/>
      <c r="J882" s="146"/>
      <c r="K882" s="146"/>
      <c r="L882" s="146"/>
      <c r="M882" s="146"/>
      <c r="N882" s="146"/>
      <c r="O882" s="146"/>
      <c r="P882" s="146"/>
      <c r="Q882" s="146"/>
      <c r="R882" s="146"/>
      <c r="S882" s="146"/>
      <c r="T882" s="146"/>
      <c r="U882" s="146"/>
      <c r="V882" s="146"/>
      <c r="W882" s="146"/>
      <c r="X882" s="146"/>
      <c r="Y882" s="146"/>
      <c r="Z882" s="146"/>
      <c r="AA882" s="146"/>
    </row>
    <row r="883" spans="1:27" ht="15.75" customHeight="1" x14ac:dyDescent="0.25">
      <c r="A883" s="146"/>
      <c r="B883" s="146"/>
      <c r="C883" s="146"/>
      <c r="D883" s="146"/>
      <c r="E883" s="146"/>
      <c r="F883" s="146"/>
      <c r="G883" s="146"/>
      <c r="H883" s="146"/>
      <c r="I883" s="146"/>
      <c r="J883" s="146"/>
      <c r="K883" s="146"/>
      <c r="L883" s="146"/>
      <c r="M883" s="146"/>
      <c r="N883" s="146"/>
      <c r="O883" s="146"/>
      <c r="P883" s="146"/>
      <c r="Q883" s="146"/>
      <c r="R883" s="146"/>
      <c r="S883" s="146"/>
      <c r="T883" s="146"/>
      <c r="U883" s="146"/>
      <c r="V883" s="146"/>
      <c r="W883" s="146"/>
      <c r="X883" s="146"/>
      <c r="Y883" s="146"/>
      <c r="Z883" s="146"/>
      <c r="AA883" s="146"/>
    </row>
    <row r="884" spans="1:27" ht="15.75" customHeight="1" x14ac:dyDescent="0.25">
      <c r="A884" s="146"/>
      <c r="B884" s="146"/>
      <c r="C884" s="146"/>
      <c r="D884" s="146"/>
      <c r="E884" s="146"/>
      <c r="F884" s="146"/>
      <c r="G884" s="146"/>
      <c r="H884" s="146"/>
      <c r="I884" s="146"/>
      <c r="J884" s="146"/>
      <c r="K884" s="146"/>
      <c r="L884" s="146"/>
      <c r="M884" s="146"/>
      <c r="N884" s="146"/>
      <c r="O884" s="146"/>
      <c r="P884" s="146"/>
      <c r="Q884" s="146"/>
      <c r="R884" s="146"/>
      <c r="S884" s="146"/>
      <c r="T884" s="146"/>
      <c r="U884" s="146"/>
      <c r="V884" s="146"/>
      <c r="W884" s="146"/>
      <c r="X884" s="146"/>
      <c r="Y884" s="146"/>
      <c r="Z884" s="146"/>
      <c r="AA884" s="146"/>
    </row>
    <row r="885" spans="1:27" ht="15.75" customHeight="1" x14ac:dyDescent="0.25">
      <c r="A885" s="146"/>
      <c r="B885" s="146"/>
      <c r="C885" s="146"/>
      <c r="D885" s="146"/>
      <c r="E885" s="146"/>
      <c r="F885" s="146"/>
      <c r="G885" s="146"/>
      <c r="H885" s="146"/>
      <c r="I885" s="146"/>
      <c r="J885" s="146"/>
      <c r="K885" s="146"/>
      <c r="L885" s="146"/>
      <c r="M885" s="146"/>
      <c r="N885" s="146"/>
      <c r="O885" s="146"/>
      <c r="P885" s="146"/>
      <c r="Q885" s="146"/>
      <c r="R885" s="146"/>
      <c r="S885" s="146"/>
      <c r="T885" s="146"/>
      <c r="U885" s="146"/>
      <c r="V885" s="146"/>
      <c r="W885" s="146"/>
      <c r="X885" s="146"/>
      <c r="Y885" s="146"/>
      <c r="Z885" s="146"/>
      <c r="AA885" s="146"/>
    </row>
    <row r="886" spans="1:27" ht="15.75" customHeight="1" x14ac:dyDescent="0.25">
      <c r="A886" s="146"/>
      <c r="B886" s="146"/>
      <c r="C886" s="146"/>
      <c r="D886" s="146"/>
      <c r="E886" s="146"/>
      <c r="F886" s="146"/>
      <c r="G886" s="146"/>
      <c r="H886" s="146"/>
      <c r="I886" s="146"/>
      <c r="J886" s="146"/>
      <c r="K886" s="146"/>
      <c r="L886" s="146"/>
      <c r="M886" s="146"/>
      <c r="N886" s="146"/>
      <c r="O886" s="146"/>
      <c r="P886" s="146"/>
      <c r="Q886" s="146"/>
      <c r="R886" s="146"/>
      <c r="S886" s="146"/>
      <c r="T886" s="146"/>
      <c r="U886" s="146"/>
      <c r="V886" s="146"/>
      <c r="W886" s="146"/>
      <c r="X886" s="146"/>
      <c r="Y886" s="146"/>
      <c r="Z886" s="146"/>
      <c r="AA886" s="146"/>
    </row>
    <row r="887" spans="1:27" ht="15.75" customHeight="1" x14ac:dyDescent="0.25">
      <c r="A887" s="146"/>
      <c r="B887" s="146"/>
      <c r="C887" s="146"/>
      <c r="D887" s="146"/>
      <c r="E887" s="146"/>
      <c r="F887" s="146"/>
      <c r="G887" s="146"/>
      <c r="H887" s="146"/>
      <c r="I887" s="146"/>
      <c r="J887" s="146"/>
      <c r="K887" s="146"/>
      <c r="L887" s="146"/>
      <c r="M887" s="146"/>
      <c r="N887" s="146"/>
      <c r="O887" s="146"/>
      <c r="P887" s="146"/>
      <c r="Q887" s="146"/>
      <c r="R887" s="146"/>
      <c r="S887" s="146"/>
      <c r="T887" s="146"/>
      <c r="U887" s="146"/>
      <c r="V887" s="146"/>
      <c r="W887" s="146"/>
      <c r="X887" s="146"/>
      <c r="Y887" s="146"/>
      <c r="Z887" s="146"/>
      <c r="AA887" s="146"/>
    </row>
    <row r="888" spans="1:27" ht="15.75" customHeight="1" x14ac:dyDescent="0.25">
      <c r="A888" s="146"/>
      <c r="B888" s="146"/>
      <c r="C888" s="146"/>
      <c r="D888" s="146"/>
      <c r="E888" s="146"/>
      <c r="F888" s="146"/>
      <c r="G888" s="146"/>
      <c r="H888" s="146"/>
      <c r="I888" s="146"/>
      <c r="J888" s="146"/>
      <c r="K888" s="146"/>
      <c r="L888" s="146"/>
      <c r="M888" s="146"/>
      <c r="N888" s="146"/>
      <c r="O888" s="146"/>
      <c r="P888" s="146"/>
      <c r="Q888" s="146"/>
      <c r="R888" s="146"/>
      <c r="S888" s="146"/>
      <c r="T888" s="146"/>
      <c r="U888" s="146"/>
      <c r="V888" s="146"/>
      <c r="W888" s="146"/>
      <c r="X888" s="146"/>
      <c r="Y888" s="146"/>
      <c r="Z888" s="146"/>
      <c r="AA888" s="146"/>
    </row>
    <row r="889" spans="1:27" ht="15.75" customHeight="1" x14ac:dyDescent="0.25">
      <c r="A889" s="146"/>
      <c r="B889" s="146"/>
      <c r="C889" s="146"/>
      <c r="D889" s="146"/>
      <c r="E889" s="146"/>
      <c r="F889" s="146"/>
      <c r="G889" s="146"/>
      <c r="H889" s="146"/>
      <c r="I889" s="146"/>
      <c r="J889" s="146"/>
      <c r="K889" s="146"/>
      <c r="L889" s="146"/>
      <c r="M889" s="146"/>
      <c r="N889" s="146"/>
      <c r="O889" s="146"/>
      <c r="P889" s="146"/>
      <c r="Q889" s="146"/>
      <c r="R889" s="146"/>
      <c r="S889" s="146"/>
      <c r="T889" s="146"/>
      <c r="U889" s="146"/>
      <c r="V889" s="146"/>
      <c r="W889" s="146"/>
      <c r="X889" s="146"/>
      <c r="Y889" s="146"/>
      <c r="Z889" s="146"/>
      <c r="AA889" s="146"/>
    </row>
    <row r="890" spans="1:27" ht="15.75" customHeight="1" x14ac:dyDescent="0.25">
      <c r="A890" s="146"/>
      <c r="B890" s="146"/>
      <c r="C890" s="146"/>
      <c r="D890" s="146"/>
      <c r="E890" s="146"/>
      <c r="F890" s="146"/>
      <c r="G890" s="146"/>
      <c r="H890" s="146"/>
      <c r="I890" s="146"/>
      <c r="J890" s="146"/>
      <c r="K890" s="146"/>
      <c r="L890" s="146"/>
      <c r="M890" s="146"/>
      <c r="N890" s="146"/>
      <c r="O890" s="146"/>
      <c r="P890" s="146"/>
      <c r="Q890" s="146"/>
      <c r="R890" s="146"/>
      <c r="S890" s="146"/>
      <c r="T890" s="146"/>
      <c r="U890" s="146"/>
      <c r="V890" s="146"/>
      <c r="W890" s="146"/>
      <c r="X890" s="146"/>
      <c r="Y890" s="146"/>
      <c r="Z890" s="146"/>
      <c r="AA890" s="146"/>
    </row>
    <row r="891" spans="1:27" ht="15.75" customHeight="1" x14ac:dyDescent="0.25">
      <c r="A891" s="146"/>
      <c r="B891" s="146"/>
      <c r="C891" s="146"/>
      <c r="D891" s="146"/>
      <c r="E891" s="146"/>
      <c r="F891" s="146"/>
      <c r="G891" s="146"/>
      <c r="H891" s="146"/>
      <c r="I891" s="146"/>
      <c r="J891" s="146"/>
      <c r="K891" s="146"/>
      <c r="L891" s="146"/>
      <c r="M891" s="146"/>
      <c r="N891" s="146"/>
      <c r="O891" s="146"/>
      <c r="P891" s="146"/>
      <c r="Q891" s="146"/>
      <c r="R891" s="146"/>
      <c r="S891" s="146"/>
      <c r="T891" s="146"/>
      <c r="U891" s="146"/>
      <c r="V891" s="146"/>
      <c r="W891" s="146"/>
      <c r="X891" s="146"/>
      <c r="Y891" s="146"/>
      <c r="Z891" s="146"/>
      <c r="AA891" s="146"/>
    </row>
    <row r="892" spans="1:27" ht="15.75" customHeight="1" x14ac:dyDescent="0.25">
      <c r="A892" s="146"/>
      <c r="B892" s="146"/>
      <c r="C892" s="146"/>
      <c r="D892" s="146"/>
      <c r="E892" s="146"/>
      <c r="F892" s="146"/>
      <c r="G892" s="146"/>
      <c r="H892" s="146"/>
      <c r="I892" s="146"/>
      <c r="J892" s="146"/>
      <c r="K892" s="146"/>
      <c r="L892" s="146"/>
      <c r="M892" s="146"/>
      <c r="N892" s="146"/>
      <c r="O892" s="146"/>
      <c r="P892" s="146"/>
      <c r="Q892" s="146"/>
      <c r="R892" s="146"/>
      <c r="S892" s="146"/>
      <c r="T892" s="146"/>
      <c r="U892" s="146"/>
      <c r="V892" s="146"/>
      <c r="W892" s="146"/>
      <c r="X892" s="146"/>
      <c r="Y892" s="146"/>
      <c r="Z892" s="146"/>
      <c r="AA892" s="146"/>
    </row>
    <row r="893" spans="1:27" ht="15.75" customHeight="1" x14ac:dyDescent="0.25">
      <c r="A893" s="146"/>
      <c r="B893" s="146"/>
      <c r="C893" s="146"/>
      <c r="D893" s="146"/>
      <c r="E893" s="146"/>
      <c r="F893" s="146"/>
      <c r="G893" s="146"/>
      <c r="H893" s="146"/>
      <c r="I893" s="146"/>
      <c r="J893" s="146"/>
      <c r="K893" s="146"/>
      <c r="L893" s="146"/>
      <c r="M893" s="146"/>
      <c r="N893" s="146"/>
      <c r="O893" s="146"/>
      <c r="P893" s="146"/>
      <c r="Q893" s="146"/>
      <c r="R893" s="146"/>
      <c r="S893" s="146"/>
      <c r="T893" s="146"/>
      <c r="U893" s="146"/>
      <c r="V893" s="146"/>
      <c r="W893" s="146"/>
      <c r="X893" s="146"/>
      <c r="Y893" s="146"/>
      <c r="Z893" s="146"/>
      <c r="AA893" s="146"/>
    </row>
    <row r="894" spans="1:27" ht="15.75" customHeight="1" x14ac:dyDescent="0.25">
      <c r="A894" s="146"/>
      <c r="B894" s="146"/>
      <c r="C894" s="146"/>
      <c r="D894" s="146"/>
      <c r="E894" s="146"/>
      <c r="F894" s="146"/>
      <c r="G894" s="146"/>
      <c r="H894" s="146"/>
      <c r="I894" s="146"/>
      <c r="J894" s="146"/>
      <c r="K894" s="146"/>
      <c r="L894" s="146"/>
      <c r="M894" s="146"/>
      <c r="N894" s="146"/>
      <c r="O894" s="146"/>
      <c r="P894" s="146"/>
      <c r="Q894" s="146"/>
      <c r="R894" s="146"/>
      <c r="S894" s="146"/>
      <c r="T894" s="146"/>
      <c r="U894" s="146"/>
      <c r="V894" s="146"/>
      <c r="W894" s="146"/>
      <c r="X894" s="146"/>
      <c r="Y894" s="146"/>
      <c r="Z894" s="146"/>
      <c r="AA894" s="146"/>
    </row>
    <row r="895" spans="1:27" ht="15.75" customHeight="1" x14ac:dyDescent="0.25">
      <c r="A895" s="146"/>
      <c r="B895" s="146"/>
      <c r="C895" s="146"/>
      <c r="D895" s="146"/>
      <c r="E895" s="146"/>
      <c r="F895" s="146"/>
      <c r="G895" s="146"/>
      <c r="H895" s="146"/>
      <c r="I895" s="146"/>
      <c r="J895" s="146"/>
      <c r="K895" s="146"/>
      <c r="L895" s="146"/>
      <c r="M895" s="146"/>
      <c r="N895" s="146"/>
      <c r="O895" s="146"/>
      <c r="P895" s="146"/>
      <c r="Q895" s="146"/>
      <c r="R895" s="146"/>
      <c r="S895" s="146"/>
      <c r="T895" s="146"/>
      <c r="U895" s="146"/>
      <c r="V895" s="146"/>
      <c r="W895" s="146"/>
      <c r="X895" s="146"/>
      <c r="Y895" s="146"/>
      <c r="Z895" s="146"/>
      <c r="AA895" s="146"/>
    </row>
    <row r="896" spans="1:27" ht="15.75" customHeight="1" x14ac:dyDescent="0.25">
      <c r="A896" s="146"/>
      <c r="B896" s="146"/>
      <c r="C896" s="146"/>
      <c r="D896" s="146"/>
      <c r="E896" s="146"/>
      <c r="F896" s="146"/>
      <c r="G896" s="146"/>
      <c r="H896" s="146"/>
      <c r="I896" s="146"/>
      <c r="J896" s="146"/>
      <c r="K896" s="146"/>
      <c r="L896" s="146"/>
      <c r="M896" s="146"/>
      <c r="N896" s="146"/>
      <c r="O896" s="146"/>
      <c r="P896" s="146"/>
      <c r="Q896" s="146"/>
      <c r="R896" s="146"/>
      <c r="S896" s="146"/>
      <c r="T896" s="146"/>
      <c r="U896" s="146"/>
      <c r="V896" s="146"/>
      <c r="W896" s="146"/>
      <c r="X896" s="146"/>
      <c r="Y896" s="146"/>
      <c r="Z896" s="146"/>
      <c r="AA896" s="146"/>
    </row>
    <row r="897" spans="1:27" ht="15.75" customHeight="1" x14ac:dyDescent="0.25">
      <c r="A897" s="146"/>
      <c r="B897" s="146"/>
      <c r="C897" s="146"/>
      <c r="D897" s="146"/>
      <c r="E897" s="146"/>
      <c r="F897" s="146"/>
      <c r="G897" s="146"/>
      <c r="H897" s="146"/>
      <c r="I897" s="146"/>
      <c r="J897" s="146"/>
      <c r="K897" s="146"/>
      <c r="L897" s="146"/>
      <c r="M897" s="146"/>
      <c r="N897" s="146"/>
      <c r="O897" s="146"/>
      <c r="P897" s="146"/>
      <c r="Q897" s="146"/>
      <c r="R897" s="146"/>
      <c r="S897" s="146"/>
      <c r="T897" s="146"/>
      <c r="U897" s="146"/>
      <c r="V897" s="146"/>
      <c r="W897" s="146"/>
      <c r="X897" s="146"/>
      <c r="Y897" s="146"/>
      <c r="Z897" s="146"/>
      <c r="AA897" s="146"/>
    </row>
    <row r="898" spans="1:27" ht="15.75" customHeight="1" x14ac:dyDescent="0.25">
      <c r="A898" s="146"/>
      <c r="B898" s="146"/>
      <c r="C898" s="146"/>
      <c r="D898" s="146"/>
      <c r="E898" s="146"/>
      <c r="F898" s="146"/>
      <c r="G898" s="146"/>
      <c r="H898" s="146"/>
      <c r="I898" s="146"/>
      <c r="J898" s="146"/>
      <c r="K898" s="146"/>
      <c r="L898" s="146"/>
      <c r="M898" s="146"/>
      <c r="N898" s="146"/>
      <c r="O898" s="146"/>
      <c r="P898" s="146"/>
      <c r="Q898" s="146"/>
      <c r="R898" s="146"/>
      <c r="S898" s="146"/>
      <c r="T898" s="146"/>
      <c r="U898" s="146"/>
      <c r="V898" s="146"/>
      <c r="W898" s="146"/>
      <c r="X898" s="146"/>
      <c r="Y898" s="146"/>
      <c r="Z898" s="146"/>
      <c r="AA898" s="146"/>
    </row>
    <row r="899" spans="1:27" ht="15.75" customHeight="1" x14ac:dyDescent="0.25">
      <c r="A899" s="146"/>
      <c r="B899" s="146"/>
      <c r="C899" s="146"/>
      <c r="D899" s="146"/>
      <c r="E899" s="146"/>
      <c r="F899" s="146"/>
      <c r="G899" s="146"/>
      <c r="H899" s="146"/>
      <c r="I899" s="146"/>
      <c r="J899" s="146"/>
      <c r="K899" s="146"/>
      <c r="L899" s="146"/>
      <c r="M899" s="146"/>
      <c r="N899" s="146"/>
      <c r="O899" s="146"/>
      <c r="P899" s="146"/>
      <c r="Q899" s="146"/>
      <c r="R899" s="146"/>
      <c r="S899" s="146"/>
      <c r="T899" s="146"/>
      <c r="U899" s="146"/>
      <c r="V899" s="146"/>
      <c r="W899" s="146"/>
      <c r="X899" s="146"/>
      <c r="Y899" s="146"/>
      <c r="Z899" s="146"/>
      <c r="AA899" s="146"/>
    </row>
    <row r="900" spans="1:27" ht="15.75" customHeight="1" x14ac:dyDescent="0.25">
      <c r="A900" s="146"/>
      <c r="B900" s="146"/>
      <c r="C900" s="146"/>
      <c r="D900" s="146"/>
      <c r="E900" s="146"/>
      <c r="F900" s="146"/>
      <c r="G900" s="146"/>
      <c r="H900" s="146"/>
      <c r="I900" s="146"/>
      <c r="J900" s="146"/>
      <c r="K900" s="146"/>
      <c r="L900" s="146"/>
      <c r="M900" s="146"/>
      <c r="N900" s="146"/>
      <c r="O900" s="146"/>
      <c r="P900" s="146"/>
      <c r="Q900" s="146"/>
      <c r="R900" s="146"/>
      <c r="S900" s="146"/>
      <c r="T900" s="146"/>
      <c r="U900" s="146"/>
      <c r="V900" s="146"/>
      <c r="W900" s="146"/>
      <c r="X900" s="146"/>
      <c r="Y900" s="146"/>
      <c r="Z900" s="146"/>
      <c r="AA900" s="146"/>
    </row>
    <row r="901" spans="1:27" ht="15.75" customHeight="1" x14ac:dyDescent="0.25">
      <c r="A901" s="146"/>
      <c r="B901" s="146"/>
      <c r="C901" s="146"/>
      <c r="D901" s="146"/>
      <c r="E901" s="146"/>
      <c r="F901" s="146"/>
      <c r="G901" s="146"/>
      <c r="H901" s="146"/>
      <c r="I901" s="146"/>
      <c r="J901" s="146"/>
      <c r="K901" s="146"/>
      <c r="L901" s="146"/>
      <c r="M901" s="146"/>
      <c r="N901" s="146"/>
      <c r="O901" s="146"/>
      <c r="P901" s="146"/>
      <c r="Q901" s="146"/>
      <c r="R901" s="146"/>
      <c r="S901" s="146"/>
      <c r="T901" s="146"/>
      <c r="U901" s="146"/>
      <c r="V901" s="146"/>
      <c r="W901" s="146"/>
      <c r="X901" s="146"/>
      <c r="Y901" s="146"/>
      <c r="Z901" s="146"/>
      <c r="AA901" s="146"/>
    </row>
    <row r="902" spans="1:27" ht="15.75" customHeight="1" x14ac:dyDescent="0.25">
      <c r="A902" s="146"/>
      <c r="B902" s="146"/>
      <c r="C902" s="146"/>
      <c r="D902" s="146"/>
      <c r="E902" s="146"/>
      <c r="F902" s="146"/>
      <c r="G902" s="146"/>
      <c r="H902" s="146"/>
      <c r="I902" s="146"/>
      <c r="J902" s="146"/>
      <c r="K902" s="146"/>
      <c r="L902" s="146"/>
      <c r="M902" s="146"/>
      <c r="N902" s="146"/>
      <c r="O902" s="146"/>
      <c r="P902" s="146"/>
      <c r="Q902" s="146"/>
      <c r="R902" s="146"/>
      <c r="S902" s="146"/>
      <c r="T902" s="146"/>
      <c r="U902" s="146"/>
      <c r="V902" s="146"/>
      <c r="W902" s="146"/>
      <c r="X902" s="146"/>
      <c r="Y902" s="146"/>
      <c r="Z902" s="146"/>
      <c r="AA902" s="146"/>
    </row>
    <row r="903" spans="1:27" ht="15.75" customHeight="1" x14ac:dyDescent="0.25">
      <c r="A903" s="146"/>
      <c r="B903" s="146"/>
      <c r="C903" s="146"/>
      <c r="D903" s="146"/>
      <c r="E903" s="146"/>
      <c r="F903" s="146"/>
      <c r="G903" s="146"/>
      <c r="H903" s="146"/>
      <c r="I903" s="146"/>
      <c r="J903" s="146"/>
      <c r="K903" s="146"/>
      <c r="L903" s="146"/>
      <c r="M903" s="146"/>
      <c r="N903" s="146"/>
      <c r="O903" s="146"/>
      <c r="P903" s="146"/>
      <c r="Q903" s="146"/>
      <c r="R903" s="146"/>
      <c r="S903" s="146"/>
      <c r="T903" s="146"/>
      <c r="U903" s="146"/>
      <c r="V903" s="146"/>
      <c r="W903" s="146"/>
      <c r="X903" s="146"/>
      <c r="Y903" s="146"/>
      <c r="Z903" s="146"/>
      <c r="AA903" s="146"/>
    </row>
    <row r="904" spans="1:27" ht="15.75" customHeight="1" x14ac:dyDescent="0.25">
      <c r="A904" s="146"/>
      <c r="B904" s="146"/>
      <c r="C904" s="146"/>
      <c r="D904" s="146"/>
      <c r="E904" s="146"/>
      <c r="F904" s="146"/>
      <c r="G904" s="146"/>
      <c r="H904" s="146"/>
      <c r="I904" s="146"/>
      <c r="J904" s="146"/>
      <c r="K904" s="146"/>
      <c r="L904" s="146"/>
      <c r="M904" s="146"/>
      <c r="N904" s="146"/>
      <c r="O904" s="146"/>
      <c r="P904" s="146"/>
      <c r="Q904" s="146"/>
      <c r="R904" s="146"/>
      <c r="S904" s="146"/>
      <c r="T904" s="146"/>
      <c r="U904" s="146"/>
      <c r="V904" s="146"/>
      <c r="W904" s="146"/>
      <c r="X904" s="146"/>
      <c r="Y904" s="146"/>
      <c r="Z904" s="146"/>
      <c r="AA904" s="146"/>
    </row>
    <row r="905" spans="1:27" ht="15.75" customHeight="1" x14ac:dyDescent="0.25">
      <c r="A905" s="146"/>
      <c r="B905" s="146"/>
      <c r="C905" s="146"/>
      <c r="D905" s="146"/>
      <c r="E905" s="146"/>
      <c r="F905" s="146"/>
      <c r="G905" s="146"/>
      <c r="H905" s="146"/>
      <c r="I905" s="146"/>
      <c r="J905" s="146"/>
      <c r="K905" s="146"/>
      <c r="L905" s="146"/>
      <c r="M905" s="146"/>
      <c r="N905" s="146"/>
      <c r="O905" s="146"/>
      <c r="P905" s="146"/>
      <c r="Q905" s="146"/>
      <c r="R905" s="146"/>
      <c r="S905" s="146"/>
      <c r="T905" s="146"/>
      <c r="U905" s="146"/>
      <c r="V905" s="146"/>
      <c r="W905" s="146"/>
      <c r="X905" s="146"/>
      <c r="Y905" s="146"/>
      <c r="Z905" s="146"/>
      <c r="AA905" s="146"/>
    </row>
    <row r="906" spans="1:27" ht="15.75" customHeight="1" x14ac:dyDescent="0.25">
      <c r="A906" s="146"/>
      <c r="B906" s="146"/>
      <c r="C906" s="146"/>
      <c r="D906" s="146"/>
      <c r="E906" s="146"/>
      <c r="F906" s="146"/>
      <c r="G906" s="146"/>
      <c r="H906" s="146"/>
      <c r="I906" s="146"/>
      <c r="J906" s="146"/>
      <c r="K906" s="146"/>
      <c r="L906" s="146"/>
      <c r="M906" s="146"/>
      <c r="N906" s="146"/>
      <c r="O906" s="146"/>
      <c r="P906" s="146"/>
      <c r="Q906" s="146"/>
      <c r="R906" s="146"/>
      <c r="S906" s="146"/>
      <c r="T906" s="146"/>
      <c r="U906" s="146"/>
      <c r="V906" s="146"/>
      <c r="W906" s="146"/>
      <c r="X906" s="146"/>
      <c r="Y906" s="146"/>
      <c r="Z906" s="146"/>
      <c r="AA906" s="146"/>
    </row>
    <row r="907" spans="1:27" ht="15.75" customHeight="1" x14ac:dyDescent="0.25">
      <c r="A907" s="146"/>
      <c r="B907" s="146"/>
      <c r="C907" s="146"/>
      <c r="D907" s="146"/>
      <c r="E907" s="146"/>
      <c r="F907" s="146"/>
      <c r="G907" s="146"/>
      <c r="H907" s="146"/>
      <c r="I907" s="146"/>
      <c r="J907" s="146"/>
      <c r="K907" s="146"/>
      <c r="L907" s="146"/>
      <c r="M907" s="146"/>
      <c r="N907" s="146"/>
      <c r="O907" s="146"/>
      <c r="P907" s="146"/>
      <c r="Q907" s="146"/>
      <c r="R907" s="146"/>
      <c r="S907" s="146"/>
      <c r="T907" s="146"/>
      <c r="U907" s="146"/>
      <c r="V907" s="146"/>
      <c r="W907" s="146"/>
      <c r="X907" s="146"/>
      <c r="Y907" s="146"/>
      <c r="Z907" s="146"/>
      <c r="AA907" s="146"/>
    </row>
    <row r="908" spans="1:27" ht="15.75" customHeight="1" x14ac:dyDescent="0.25">
      <c r="A908" s="146"/>
      <c r="B908" s="146"/>
      <c r="C908" s="146"/>
      <c r="D908" s="146"/>
      <c r="E908" s="146"/>
      <c r="F908" s="146"/>
      <c r="G908" s="146"/>
      <c r="H908" s="146"/>
      <c r="I908" s="146"/>
      <c r="J908" s="146"/>
      <c r="K908" s="146"/>
      <c r="L908" s="146"/>
      <c r="M908" s="146"/>
      <c r="N908" s="146"/>
      <c r="O908" s="146"/>
      <c r="P908" s="146"/>
      <c r="Q908" s="146"/>
      <c r="R908" s="146"/>
      <c r="S908" s="146"/>
      <c r="T908" s="146"/>
      <c r="U908" s="146"/>
      <c r="V908" s="146"/>
      <c r="W908" s="146"/>
      <c r="X908" s="146"/>
      <c r="Y908" s="146"/>
      <c r="Z908" s="146"/>
      <c r="AA908" s="146"/>
    </row>
    <row r="909" spans="1:27" ht="15.75" customHeight="1" x14ac:dyDescent="0.25">
      <c r="A909" s="146"/>
      <c r="B909" s="146"/>
      <c r="C909" s="146"/>
      <c r="D909" s="146"/>
      <c r="E909" s="146"/>
      <c r="F909" s="146"/>
      <c r="G909" s="146"/>
      <c r="H909" s="146"/>
      <c r="I909" s="146"/>
      <c r="J909" s="146"/>
      <c r="K909" s="146"/>
      <c r="L909" s="146"/>
      <c r="M909" s="146"/>
      <c r="N909" s="146"/>
      <c r="O909" s="146"/>
      <c r="P909" s="146"/>
      <c r="Q909" s="146"/>
      <c r="R909" s="146"/>
      <c r="S909" s="146"/>
      <c r="T909" s="146"/>
      <c r="U909" s="146"/>
      <c r="V909" s="146"/>
      <c r="W909" s="146"/>
      <c r="X909" s="146"/>
      <c r="Y909" s="146"/>
      <c r="Z909" s="146"/>
      <c r="AA909" s="146"/>
    </row>
    <row r="910" spans="1:27" ht="15.75" customHeight="1" x14ac:dyDescent="0.25">
      <c r="A910" s="146"/>
      <c r="B910" s="146"/>
      <c r="C910" s="146"/>
      <c r="D910" s="146"/>
      <c r="E910" s="146"/>
      <c r="F910" s="146"/>
      <c r="G910" s="146"/>
      <c r="H910" s="146"/>
      <c r="I910" s="146"/>
      <c r="J910" s="146"/>
      <c r="K910" s="146"/>
      <c r="L910" s="146"/>
      <c r="M910" s="146"/>
      <c r="N910" s="146"/>
      <c r="O910" s="146"/>
      <c r="P910" s="146"/>
      <c r="Q910" s="146"/>
      <c r="R910" s="146"/>
      <c r="S910" s="146"/>
      <c r="T910" s="146"/>
      <c r="U910" s="146"/>
      <c r="V910" s="146"/>
      <c r="W910" s="146"/>
      <c r="X910" s="146"/>
      <c r="Y910" s="146"/>
      <c r="Z910" s="146"/>
      <c r="AA910" s="146"/>
    </row>
    <row r="911" spans="1:27" ht="15.75" customHeight="1" x14ac:dyDescent="0.25">
      <c r="A911" s="146"/>
      <c r="B911" s="146"/>
      <c r="C911" s="146"/>
      <c r="D911" s="146"/>
      <c r="E911" s="146"/>
      <c r="F911" s="146"/>
      <c r="G911" s="146"/>
      <c r="H911" s="146"/>
      <c r="I911" s="146"/>
      <c r="J911" s="146"/>
      <c r="K911" s="146"/>
      <c r="L911" s="146"/>
      <c r="M911" s="146"/>
      <c r="N911" s="146"/>
      <c r="O911" s="146"/>
      <c r="P911" s="146"/>
      <c r="Q911" s="146"/>
      <c r="R911" s="146"/>
      <c r="S911" s="146"/>
      <c r="T911" s="146"/>
      <c r="U911" s="146"/>
      <c r="V911" s="146"/>
      <c r="W911" s="146"/>
      <c r="X911" s="146"/>
      <c r="Y911" s="146"/>
      <c r="Z911" s="146"/>
      <c r="AA911" s="146"/>
    </row>
    <row r="912" spans="1:27" ht="15.75" customHeight="1" x14ac:dyDescent="0.25">
      <c r="A912" s="146"/>
      <c r="B912" s="146"/>
      <c r="C912" s="146"/>
      <c r="D912" s="146"/>
      <c r="E912" s="146"/>
      <c r="F912" s="146"/>
      <c r="G912" s="146"/>
      <c r="H912" s="146"/>
      <c r="I912" s="146"/>
      <c r="J912" s="146"/>
      <c r="K912" s="146"/>
      <c r="L912" s="146"/>
      <c r="M912" s="146"/>
      <c r="N912" s="146"/>
      <c r="O912" s="146"/>
      <c r="P912" s="146"/>
      <c r="Q912" s="146"/>
      <c r="R912" s="146"/>
      <c r="S912" s="146"/>
      <c r="T912" s="146"/>
      <c r="U912" s="146"/>
      <c r="V912" s="146"/>
      <c r="W912" s="146"/>
      <c r="X912" s="146"/>
      <c r="Y912" s="146"/>
      <c r="Z912" s="146"/>
      <c r="AA912" s="146"/>
    </row>
    <row r="913" spans="1:27" ht="15.75" customHeight="1" x14ac:dyDescent="0.25">
      <c r="A913" s="146"/>
      <c r="B913" s="146"/>
      <c r="C913" s="146"/>
      <c r="D913" s="146"/>
      <c r="E913" s="146"/>
      <c r="F913" s="146"/>
      <c r="G913" s="146"/>
      <c r="H913" s="146"/>
      <c r="I913" s="146"/>
      <c r="J913" s="146"/>
      <c r="K913" s="146"/>
      <c r="L913" s="146"/>
      <c r="M913" s="146"/>
      <c r="N913" s="146"/>
      <c r="O913" s="146"/>
      <c r="P913" s="146"/>
      <c r="Q913" s="146"/>
      <c r="R913" s="146"/>
      <c r="S913" s="146"/>
      <c r="T913" s="146"/>
      <c r="U913" s="146"/>
      <c r="V913" s="146"/>
      <c r="W913" s="146"/>
      <c r="X913" s="146"/>
      <c r="Y913" s="146"/>
      <c r="Z913" s="146"/>
      <c r="AA913" s="146"/>
    </row>
    <row r="914" spans="1:27" ht="15.75" customHeight="1" x14ac:dyDescent="0.25">
      <c r="A914" s="146"/>
      <c r="B914" s="146"/>
      <c r="C914" s="146"/>
      <c r="D914" s="146"/>
      <c r="E914" s="146"/>
      <c r="F914" s="146"/>
      <c r="G914" s="146"/>
      <c r="H914" s="146"/>
      <c r="I914" s="146"/>
      <c r="J914" s="146"/>
      <c r="K914" s="146"/>
      <c r="L914" s="146"/>
      <c r="M914" s="146"/>
      <c r="N914" s="146"/>
      <c r="O914" s="146"/>
      <c r="P914" s="146"/>
      <c r="Q914" s="146"/>
      <c r="R914" s="146"/>
      <c r="S914" s="146"/>
      <c r="T914" s="146"/>
      <c r="U914" s="146"/>
      <c r="V914" s="146"/>
      <c r="W914" s="146"/>
      <c r="X914" s="146"/>
      <c r="Y914" s="146"/>
      <c r="Z914" s="146"/>
      <c r="AA914" s="146"/>
    </row>
    <row r="915" spans="1:27" ht="15.75" customHeight="1" x14ac:dyDescent="0.25">
      <c r="A915" s="146"/>
      <c r="B915" s="146"/>
      <c r="C915" s="146"/>
      <c r="D915" s="146"/>
      <c r="E915" s="146"/>
      <c r="F915" s="146"/>
      <c r="G915" s="146"/>
      <c r="H915" s="146"/>
      <c r="I915" s="146"/>
      <c r="J915" s="146"/>
      <c r="K915" s="146"/>
      <c r="L915" s="146"/>
      <c r="M915" s="146"/>
      <c r="N915" s="146"/>
      <c r="O915" s="146"/>
      <c r="P915" s="146"/>
      <c r="Q915" s="146"/>
      <c r="R915" s="146"/>
      <c r="S915" s="146"/>
      <c r="T915" s="146"/>
      <c r="U915" s="146"/>
      <c r="V915" s="146"/>
      <c r="W915" s="146"/>
      <c r="X915" s="146"/>
      <c r="Y915" s="146"/>
      <c r="Z915" s="146"/>
      <c r="AA915" s="146"/>
    </row>
    <row r="916" spans="1:27" ht="15.75" customHeight="1" x14ac:dyDescent="0.25">
      <c r="A916" s="146"/>
      <c r="B916" s="146"/>
      <c r="C916" s="146"/>
      <c r="D916" s="146"/>
      <c r="E916" s="146"/>
      <c r="F916" s="146"/>
      <c r="G916" s="146"/>
      <c r="H916" s="146"/>
      <c r="I916" s="146"/>
      <c r="J916" s="146"/>
      <c r="K916" s="146"/>
      <c r="L916" s="146"/>
      <c r="M916" s="146"/>
      <c r="N916" s="146"/>
      <c r="O916" s="146"/>
      <c r="P916" s="146"/>
      <c r="Q916" s="146"/>
      <c r="R916" s="146"/>
      <c r="S916" s="146"/>
      <c r="T916" s="146"/>
      <c r="U916" s="146"/>
      <c r="V916" s="146"/>
      <c r="W916" s="146"/>
      <c r="X916" s="146"/>
      <c r="Y916" s="146"/>
      <c r="Z916" s="146"/>
      <c r="AA916" s="146"/>
    </row>
    <row r="917" spans="1:27" ht="15.75" customHeight="1" x14ac:dyDescent="0.25">
      <c r="A917" s="146"/>
      <c r="B917" s="146"/>
      <c r="C917" s="146"/>
      <c r="D917" s="146"/>
      <c r="E917" s="146"/>
      <c r="F917" s="146"/>
      <c r="G917" s="146"/>
      <c r="H917" s="146"/>
      <c r="I917" s="146"/>
      <c r="J917" s="146"/>
      <c r="K917" s="146"/>
      <c r="L917" s="146"/>
      <c r="M917" s="146"/>
      <c r="N917" s="146"/>
      <c r="O917" s="146"/>
      <c r="P917" s="146"/>
      <c r="Q917" s="146"/>
      <c r="R917" s="146"/>
      <c r="S917" s="146"/>
      <c r="T917" s="146"/>
      <c r="U917" s="146"/>
      <c r="V917" s="146"/>
      <c r="W917" s="146"/>
      <c r="X917" s="146"/>
      <c r="Y917" s="146"/>
      <c r="Z917" s="146"/>
      <c r="AA917" s="146"/>
    </row>
    <row r="918" spans="1:27" ht="15.75" customHeight="1" x14ac:dyDescent="0.25">
      <c r="A918" s="146"/>
      <c r="B918" s="146"/>
      <c r="C918" s="146"/>
      <c r="D918" s="146"/>
      <c r="E918" s="146"/>
      <c r="F918" s="146"/>
      <c r="G918" s="146"/>
      <c r="H918" s="146"/>
      <c r="I918" s="146"/>
      <c r="J918" s="146"/>
      <c r="K918" s="146"/>
      <c r="L918" s="146"/>
      <c r="M918" s="146"/>
      <c r="N918" s="146"/>
      <c r="O918" s="146"/>
      <c r="P918" s="146"/>
      <c r="Q918" s="146"/>
      <c r="R918" s="146"/>
      <c r="S918" s="146"/>
      <c r="T918" s="146"/>
      <c r="U918" s="146"/>
      <c r="V918" s="146"/>
      <c r="W918" s="146"/>
      <c r="X918" s="146"/>
      <c r="Y918" s="146"/>
      <c r="Z918" s="146"/>
      <c r="AA918" s="146"/>
    </row>
    <row r="919" spans="1:27" ht="15.75" customHeight="1" x14ac:dyDescent="0.25">
      <c r="A919" s="146"/>
      <c r="B919" s="146"/>
      <c r="C919" s="146"/>
      <c r="D919" s="146"/>
      <c r="E919" s="146"/>
      <c r="F919" s="146"/>
      <c r="G919" s="146"/>
      <c r="H919" s="146"/>
      <c r="I919" s="146"/>
      <c r="J919" s="146"/>
      <c r="K919" s="146"/>
      <c r="L919" s="146"/>
      <c r="M919" s="146"/>
      <c r="N919" s="146"/>
      <c r="O919" s="146"/>
      <c r="P919" s="146"/>
      <c r="Q919" s="146"/>
      <c r="R919" s="146"/>
      <c r="S919" s="146"/>
      <c r="T919" s="146"/>
      <c r="U919" s="146"/>
      <c r="V919" s="146"/>
      <c r="W919" s="146"/>
      <c r="X919" s="146"/>
      <c r="Y919" s="146"/>
      <c r="Z919" s="146"/>
      <c r="AA919" s="146"/>
    </row>
    <row r="920" spans="1:27" ht="15.75" customHeight="1" x14ac:dyDescent="0.25">
      <c r="A920" s="146"/>
      <c r="B920" s="146"/>
      <c r="C920" s="146"/>
      <c r="D920" s="146"/>
      <c r="E920" s="146"/>
      <c r="F920" s="146"/>
      <c r="G920" s="146"/>
      <c r="H920" s="146"/>
      <c r="I920" s="146"/>
      <c r="J920" s="146"/>
      <c r="K920" s="146"/>
      <c r="L920" s="146"/>
      <c r="M920" s="146"/>
      <c r="N920" s="146"/>
      <c r="O920" s="146"/>
      <c r="P920" s="146"/>
      <c r="Q920" s="146"/>
      <c r="R920" s="146"/>
      <c r="S920" s="146"/>
      <c r="T920" s="146"/>
      <c r="U920" s="146"/>
      <c r="V920" s="146"/>
      <c r="W920" s="146"/>
      <c r="X920" s="146"/>
      <c r="Y920" s="146"/>
      <c r="Z920" s="146"/>
      <c r="AA920" s="146"/>
    </row>
    <row r="921" spans="1:27" ht="15.75" customHeight="1" x14ac:dyDescent="0.25">
      <c r="A921" s="146"/>
      <c r="B921" s="146"/>
      <c r="C921" s="146"/>
      <c r="D921" s="146"/>
      <c r="E921" s="146"/>
      <c r="F921" s="146"/>
      <c r="G921" s="146"/>
      <c r="H921" s="146"/>
      <c r="I921" s="146"/>
      <c r="J921" s="146"/>
      <c r="K921" s="146"/>
      <c r="L921" s="146"/>
      <c r="M921" s="146"/>
      <c r="N921" s="146"/>
      <c r="O921" s="146"/>
      <c r="P921" s="146"/>
      <c r="Q921" s="146"/>
      <c r="R921" s="146"/>
      <c r="S921" s="146"/>
      <c r="T921" s="146"/>
      <c r="U921" s="146"/>
      <c r="V921" s="146"/>
      <c r="W921" s="146"/>
      <c r="X921" s="146"/>
      <c r="Y921" s="146"/>
      <c r="Z921" s="146"/>
      <c r="AA921" s="146"/>
    </row>
    <row r="922" spans="1:27" ht="15.75" customHeight="1" x14ac:dyDescent="0.25">
      <c r="A922" s="146"/>
      <c r="B922" s="146"/>
      <c r="C922" s="146"/>
      <c r="D922" s="146"/>
      <c r="E922" s="146"/>
      <c r="F922" s="146"/>
      <c r="G922" s="146"/>
      <c r="H922" s="146"/>
      <c r="I922" s="146"/>
      <c r="J922" s="146"/>
      <c r="K922" s="146"/>
      <c r="L922" s="146"/>
      <c r="M922" s="146"/>
      <c r="N922" s="146"/>
      <c r="O922" s="146"/>
      <c r="P922" s="146"/>
      <c r="Q922" s="146"/>
      <c r="R922" s="146"/>
      <c r="S922" s="146"/>
      <c r="T922" s="146"/>
      <c r="U922" s="146"/>
      <c r="V922" s="146"/>
      <c r="W922" s="146"/>
      <c r="X922" s="146"/>
      <c r="Y922" s="146"/>
      <c r="Z922" s="146"/>
      <c r="AA922" s="146"/>
    </row>
    <row r="923" spans="1:27" ht="15.75" customHeight="1" x14ac:dyDescent="0.25">
      <c r="A923" s="146"/>
      <c r="B923" s="146"/>
      <c r="C923" s="146"/>
      <c r="D923" s="146"/>
      <c r="E923" s="146"/>
      <c r="F923" s="146"/>
      <c r="G923" s="146"/>
      <c r="H923" s="146"/>
      <c r="I923" s="146"/>
      <c r="J923" s="146"/>
      <c r="K923" s="146"/>
      <c r="L923" s="146"/>
      <c r="M923" s="146"/>
      <c r="N923" s="146"/>
      <c r="O923" s="146"/>
      <c r="P923" s="146"/>
      <c r="Q923" s="146"/>
      <c r="R923" s="146"/>
      <c r="S923" s="146"/>
      <c r="T923" s="146"/>
      <c r="U923" s="146"/>
      <c r="V923" s="146"/>
      <c r="W923" s="146"/>
      <c r="X923" s="146"/>
      <c r="Y923" s="146"/>
      <c r="Z923" s="146"/>
      <c r="AA923" s="146"/>
    </row>
    <row r="924" spans="1:27" ht="15.75" customHeight="1" x14ac:dyDescent="0.25">
      <c r="A924" s="146"/>
      <c r="B924" s="146"/>
      <c r="C924" s="146"/>
      <c r="D924" s="146"/>
      <c r="E924" s="146"/>
      <c r="F924" s="146"/>
      <c r="G924" s="146"/>
      <c r="H924" s="146"/>
      <c r="I924" s="146"/>
      <c r="J924" s="146"/>
      <c r="K924" s="146"/>
      <c r="L924" s="146"/>
      <c r="M924" s="146"/>
      <c r="N924" s="146"/>
      <c r="O924" s="146"/>
      <c r="P924" s="146"/>
      <c r="Q924" s="146"/>
      <c r="R924" s="146"/>
      <c r="S924" s="146"/>
      <c r="T924" s="146"/>
      <c r="U924" s="146"/>
      <c r="V924" s="146"/>
      <c r="W924" s="146"/>
      <c r="X924" s="146"/>
      <c r="Y924" s="146"/>
      <c r="Z924" s="146"/>
      <c r="AA924" s="146"/>
    </row>
    <row r="925" spans="1:27" ht="15.75" customHeight="1" x14ac:dyDescent="0.25">
      <c r="A925" s="146"/>
      <c r="B925" s="146"/>
      <c r="C925" s="146"/>
      <c r="D925" s="146"/>
      <c r="E925" s="146"/>
      <c r="F925" s="146"/>
      <c r="G925" s="146"/>
      <c r="H925" s="146"/>
      <c r="I925" s="146"/>
      <c r="J925" s="146"/>
      <c r="K925" s="146"/>
      <c r="L925" s="146"/>
      <c r="M925" s="146"/>
      <c r="N925" s="146"/>
      <c r="O925" s="146"/>
      <c r="P925" s="146"/>
      <c r="Q925" s="146"/>
      <c r="R925" s="146"/>
      <c r="S925" s="146"/>
      <c r="T925" s="146"/>
      <c r="U925" s="146"/>
      <c r="V925" s="146"/>
      <c r="W925" s="146"/>
      <c r="X925" s="146"/>
      <c r="Y925" s="146"/>
      <c r="Z925" s="146"/>
      <c r="AA925" s="146"/>
    </row>
    <row r="926" spans="1:27" ht="15.75" customHeight="1" x14ac:dyDescent="0.25">
      <c r="A926" s="146"/>
      <c r="B926" s="146"/>
      <c r="C926" s="146"/>
      <c r="D926" s="146"/>
      <c r="E926" s="146"/>
      <c r="F926" s="146"/>
      <c r="G926" s="146"/>
      <c r="H926" s="146"/>
      <c r="I926" s="146"/>
      <c r="J926" s="146"/>
      <c r="K926" s="146"/>
      <c r="L926" s="146"/>
      <c r="M926" s="146"/>
      <c r="N926" s="146"/>
      <c r="O926" s="146"/>
      <c r="P926" s="146"/>
      <c r="Q926" s="146"/>
      <c r="R926" s="146"/>
      <c r="S926" s="146"/>
      <c r="T926" s="146"/>
      <c r="U926" s="146"/>
      <c r="V926" s="146"/>
      <c r="W926" s="146"/>
      <c r="X926" s="146"/>
      <c r="Y926" s="146"/>
      <c r="Z926" s="146"/>
      <c r="AA926" s="146"/>
    </row>
    <row r="927" spans="1:27" ht="15.75" customHeight="1" x14ac:dyDescent="0.25">
      <c r="A927" s="146"/>
      <c r="B927" s="146"/>
      <c r="C927" s="146"/>
      <c r="D927" s="146"/>
      <c r="E927" s="146"/>
      <c r="F927" s="146"/>
      <c r="G927" s="146"/>
      <c r="H927" s="146"/>
      <c r="I927" s="146"/>
      <c r="J927" s="146"/>
      <c r="K927" s="146"/>
      <c r="L927" s="146"/>
      <c r="M927" s="146"/>
      <c r="N927" s="146"/>
      <c r="O927" s="146"/>
      <c r="P927" s="146"/>
      <c r="Q927" s="146"/>
      <c r="R927" s="146"/>
      <c r="S927" s="146"/>
      <c r="T927" s="146"/>
      <c r="U927" s="146"/>
      <c r="V927" s="146"/>
      <c r="W927" s="146"/>
      <c r="X927" s="146"/>
      <c r="Y927" s="146"/>
      <c r="Z927" s="146"/>
      <c r="AA927" s="146"/>
    </row>
    <row r="928" spans="1:27" ht="15.75" customHeight="1" x14ac:dyDescent="0.25">
      <c r="A928" s="146"/>
      <c r="B928" s="146"/>
      <c r="C928" s="146"/>
      <c r="D928" s="146"/>
      <c r="E928" s="146"/>
      <c r="F928" s="146"/>
      <c r="G928" s="146"/>
      <c r="H928" s="146"/>
      <c r="I928" s="146"/>
      <c r="J928" s="146"/>
      <c r="K928" s="146"/>
      <c r="L928" s="146"/>
      <c r="M928" s="146"/>
      <c r="N928" s="146"/>
      <c r="O928" s="146"/>
      <c r="P928" s="146"/>
      <c r="Q928" s="146"/>
      <c r="R928" s="146"/>
      <c r="S928" s="146"/>
      <c r="T928" s="146"/>
      <c r="U928" s="146"/>
      <c r="V928" s="146"/>
      <c r="W928" s="146"/>
      <c r="X928" s="146"/>
      <c r="Y928" s="146"/>
      <c r="Z928" s="146"/>
      <c r="AA928" s="146"/>
    </row>
    <row r="929" spans="1:27" ht="15.75" customHeight="1" x14ac:dyDescent="0.25">
      <c r="A929" s="146"/>
      <c r="B929" s="146"/>
      <c r="C929" s="146"/>
      <c r="D929" s="146"/>
      <c r="E929" s="146"/>
      <c r="F929" s="146"/>
      <c r="G929" s="146"/>
      <c r="H929" s="146"/>
      <c r="I929" s="146"/>
      <c r="J929" s="146"/>
      <c r="K929" s="146"/>
      <c r="L929" s="146"/>
      <c r="M929" s="146"/>
      <c r="N929" s="146"/>
      <c r="O929" s="146"/>
      <c r="P929" s="146"/>
      <c r="Q929" s="146"/>
      <c r="R929" s="146"/>
      <c r="S929" s="146"/>
      <c r="T929" s="146"/>
      <c r="U929" s="146"/>
      <c r="V929" s="146"/>
      <c r="W929" s="146"/>
      <c r="X929" s="146"/>
      <c r="Y929" s="146"/>
      <c r="Z929" s="146"/>
      <c r="AA929" s="146"/>
    </row>
    <row r="930" spans="1:27" ht="15.75" customHeight="1" x14ac:dyDescent="0.25">
      <c r="A930" s="146"/>
      <c r="B930" s="146"/>
      <c r="C930" s="146"/>
      <c r="D930" s="146"/>
      <c r="E930" s="146"/>
      <c r="F930" s="146"/>
      <c r="G930" s="146"/>
      <c r="H930" s="146"/>
      <c r="I930" s="146"/>
      <c r="J930" s="146"/>
      <c r="K930" s="146"/>
      <c r="L930" s="146"/>
      <c r="M930" s="146"/>
      <c r="N930" s="146"/>
      <c r="O930" s="146"/>
      <c r="P930" s="146"/>
      <c r="Q930" s="146"/>
      <c r="R930" s="146"/>
      <c r="S930" s="146"/>
      <c r="T930" s="146"/>
      <c r="U930" s="146"/>
      <c r="V930" s="146"/>
      <c r="W930" s="146"/>
      <c r="X930" s="146"/>
      <c r="Y930" s="146"/>
      <c r="Z930" s="146"/>
      <c r="AA930" s="146"/>
    </row>
    <row r="931" spans="1:27" ht="15.75" customHeight="1" x14ac:dyDescent="0.25">
      <c r="A931" s="146"/>
      <c r="B931" s="146"/>
      <c r="C931" s="146"/>
      <c r="D931" s="146"/>
      <c r="E931" s="146"/>
      <c r="F931" s="146"/>
      <c r="G931" s="146"/>
      <c r="H931" s="146"/>
      <c r="I931" s="146"/>
      <c r="J931" s="146"/>
      <c r="K931" s="146"/>
      <c r="L931" s="146"/>
      <c r="M931" s="146"/>
      <c r="N931" s="146"/>
      <c r="O931" s="146"/>
      <c r="P931" s="146"/>
      <c r="Q931" s="146"/>
      <c r="R931" s="146"/>
      <c r="S931" s="146"/>
      <c r="T931" s="146"/>
      <c r="U931" s="146"/>
      <c r="V931" s="146"/>
      <c r="W931" s="146"/>
      <c r="X931" s="146"/>
      <c r="Y931" s="146"/>
      <c r="Z931" s="146"/>
      <c r="AA931" s="146"/>
    </row>
    <row r="932" spans="1:27" ht="15.75" customHeight="1" x14ac:dyDescent="0.25">
      <c r="A932" s="146"/>
      <c r="B932" s="146"/>
      <c r="C932" s="146"/>
      <c r="D932" s="146"/>
      <c r="E932" s="146"/>
      <c r="F932" s="146"/>
      <c r="G932" s="146"/>
      <c r="H932" s="146"/>
      <c r="I932" s="146"/>
      <c r="J932" s="146"/>
      <c r="K932" s="146"/>
      <c r="L932" s="146"/>
      <c r="M932" s="146"/>
      <c r="N932" s="146"/>
      <c r="O932" s="146"/>
      <c r="P932" s="146"/>
      <c r="Q932" s="146"/>
      <c r="R932" s="146"/>
      <c r="S932" s="146"/>
      <c r="T932" s="146"/>
      <c r="U932" s="146"/>
      <c r="V932" s="146"/>
      <c r="W932" s="146"/>
      <c r="X932" s="146"/>
      <c r="Y932" s="146"/>
      <c r="Z932" s="146"/>
      <c r="AA932" s="146"/>
    </row>
    <row r="933" spans="1:27" ht="15.75" customHeight="1" x14ac:dyDescent="0.25">
      <c r="A933" s="146"/>
      <c r="B933" s="146"/>
      <c r="C933" s="146"/>
      <c r="D933" s="146"/>
      <c r="E933" s="146"/>
      <c r="F933" s="146"/>
      <c r="G933" s="146"/>
      <c r="H933" s="146"/>
      <c r="I933" s="146"/>
      <c r="J933" s="146"/>
      <c r="K933" s="146"/>
      <c r="L933" s="146"/>
      <c r="M933" s="146"/>
      <c r="N933" s="146"/>
      <c r="O933" s="146"/>
      <c r="P933" s="146"/>
      <c r="Q933" s="146"/>
      <c r="R933" s="146"/>
      <c r="S933" s="146"/>
      <c r="T933" s="146"/>
      <c r="U933" s="146"/>
      <c r="V933" s="146"/>
      <c r="W933" s="146"/>
      <c r="X933" s="146"/>
      <c r="Y933" s="146"/>
      <c r="Z933" s="146"/>
      <c r="AA933" s="146"/>
    </row>
    <row r="934" spans="1:27" ht="15.75" customHeight="1" x14ac:dyDescent="0.25">
      <c r="A934" s="146"/>
      <c r="B934" s="146"/>
      <c r="C934" s="146"/>
      <c r="D934" s="146"/>
      <c r="E934" s="146"/>
      <c r="F934" s="146"/>
      <c r="G934" s="146"/>
      <c r="H934" s="146"/>
      <c r="I934" s="146"/>
      <c r="J934" s="146"/>
      <c r="K934" s="146"/>
      <c r="L934" s="146"/>
      <c r="M934" s="146"/>
      <c r="N934" s="146"/>
      <c r="O934" s="146"/>
      <c r="P934" s="146"/>
      <c r="Q934" s="146"/>
      <c r="R934" s="146"/>
      <c r="S934" s="146"/>
      <c r="T934" s="146"/>
      <c r="U934" s="146"/>
      <c r="V934" s="146"/>
      <c r="W934" s="146"/>
      <c r="X934" s="146"/>
      <c r="Y934" s="146"/>
      <c r="Z934" s="146"/>
      <c r="AA934" s="146"/>
    </row>
    <row r="935" spans="1:27" ht="15.75" customHeight="1" x14ac:dyDescent="0.25">
      <c r="A935" s="146"/>
      <c r="B935" s="146"/>
      <c r="C935" s="146"/>
      <c r="D935" s="146"/>
      <c r="E935" s="146"/>
      <c r="F935" s="146"/>
      <c r="G935" s="146"/>
      <c r="H935" s="146"/>
      <c r="I935" s="146"/>
      <c r="J935" s="146"/>
      <c r="K935" s="146"/>
      <c r="L935" s="146"/>
      <c r="M935" s="146"/>
      <c r="N935" s="146"/>
      <c r="O935" s="146"/>
      <c r="P935" s="146"/>
      <c r="Q935" s="146"/>
      <c r="R935" s="146"/>
      <c r="S935" s="146"/>
      <c r="T935" s="146"/>
      <c r="U935" s="146"/>
      <c r="V935" s="146"/>
      <c r="W935" s="146"/>
      <c r="X935" s="146"/>
      <c r="Y935" s="146"/>
      <c r="Z935" s="146"/>
      <c r="AA935" s="146"/>
    </row>
    <row r="936" spans="1:27" ht="15.75" customHeight="1" x14ac:dyDescent="0.25">
      <c r="A936" s="146"/>
      <c r="B936" s="146"/>
      <c r="C936" s="146"/>
      <c r="D936" s="146"/>
      <c r="E936" s="146"/>
      <c r="F936" s="146"/>
      <c r="G936" s="146"/>
      <c r="H936" s="146"/>
      <c r="I936" s="146"/>
      <c r="J936" s="146"/>
      <c r="K936" s="146"/>
      <c r="L936" s="146"/>
      <c r="M936" s="146"/>
      <c r="N936" s="146"/>
      <c r="O936" s="146"/>
      <c r="P936" s="146"/>
      <c r="Q936" s="146"/>
      <c r="R936" s="146"/>
      <c r="S936" s="146"/>
      <c r="T936" s="146"/>
      <c r="U936" s="146"/>
      <c r="V936" s="146"/>
      <c r="W936" s="146"/>
      <c r="X936" s="146"/>
      <c r="Y936" s="146"/>
      <c r="Z936" s="146"/>
      <c r="AA936" s="146"/>
    </row>
    <row r="937" spans="1:27" ht="15.75" customHeight="1" x14ac:dyDescent="0.25">
      <c r="A937" s="146"/>
      <c r="B937" s="146"/>
      <c r="C937" s="146"/>
      <c r="D937" s="146"/>
      <c r="E937" s="146"/>
      <c r="F937" s="146"/>
      <c r="G937" s="146"/>
      <c r="H937" s="146"/>
      <c r="I937" s="146"/>
      <c r="J937" s="146"/>
      <c r="K937" s="146"/>
      <c r="L937" s="146"/>
      <c r="M937" s="146"/>
      <c r="N937" s="146"/>
      <c r="O937" s="146"/>
      <c r="P937" s="146"/>
      <c r="Q937" s="146"/>
      <c r="R937" s="146"/>
      <c r="S937" s="146"/>
      <c r="T937" s="146"/>
      <c r="U937" s="146"/>
      <c r="V937" s="146"/>
      <c r="W937" s="146"/>
      <c r="X937" s="146"/>
      <c r="Y937" s="146"/>
      <c r="Z937" s="146"/>
      <c r="AA937" s="146"/>
    </row>
    <row r="938" spans="1:27" ht="15.75" customHeight="1" x14ac:dyDescent="0.25">
      <c r="A938" s="146"/>
      <c r="B938" s="146"/>
      <c r="C938" s="146"/>
      <c r="D938" s="146"/>
      <c r="E938" s="146"/>
      <c r="F938" s="146"/>
      <c r="G938" s="146"/>
      <c r="H938" s="146"/>
      <c r="I938" s="146"/>
      <c r="J938" s="146"/>
      <c r="K938" s="146"/>
      <c r="L938" s="146"/>
      <c r="M938" s="146"/>
      <c r="N938" s="146"/>
      <c r="O938" s="146"/>
      <c r="P938" s="146"/>
      <c r="Q938" s="146"/>
      <c r="R938" s="146"/>
      <c r="S938" s="146"/>
      <c r="T938" s="146"/>
      <c r="U938" s="146"/>
      <c r="V938" s="146"/>
      <c r="W938" s="146"/>
      <c r="X938" s="146"/>
      <c r="Y938" s="146"/>
      <c r="Z938" s="146"/>
      <c r="AA938" s="146"/>
    </row>
    <row r="939" spans="1:27" ht="15.75" customHeight="1" x14ac:dyDescent="0.25">
      <c r="A939" s="146"/>
      <c r="B939" s="146"/>
      <c r="C939" s="146"/>
      <c r="D939" s="146"/>
      <c r="E939" s="146"/>
      <c r="F939" s="146"/>
      <c r="G939" s="146"/>
      <c r="H939" s="146"/>
      <c r="I939" s="146"/>
      <c r="J939" s="146"/>
      <c r="K939" s="146"/>
      <c r="L939" s="146"/>
      <c r="M939" s="146"/>
      <c r="N939" s="146"/>
      <c r="O939" s="146"/>
      <c r="P939" s="146"/>
      <c r="Q939" s="146"/>
      <c r="R939" s="146"/>
      <c r="S939" s="146"/>
      <c r="T939" s="146"/>
      <c r="U939" s="146"/>
      <c r="V939" s="146"/>
      <c r="W939" s="146"/>
      <c r="X939" s="146"/>
      <c r="Y939" s="146"/>
      <c r="Z939" s="146"/>
      <c r="AA939" s="146"/>
    </row>
    <row r="940" spans="1:27" ht="15.75" customHeight="1" x14ac:dyDescent="0.25">
      <c r="A940" s="146"/>
      <c r="B940" s="146"/>
      <c r="C940" s="146"/>
      <c r="D940" s="146"/>
      <c r="E940" s="146"/>
      <c r="F940" s="146"/>
      <c r="G940" s="146"/>
      <c r="H940" s="146"/>
      <c r="I940" s="146"/>
      <c r="J940" s="146"/>
      <c r="K940" s="146"/>
      <c r="L940" s="146"/>
      <c r="M940" s="146"/>
      <c r="N940" s="146"/>
      <c r="O940" s="146"/>
      <c r="P940" s="146"/>
      <c r="Q940" s="146"/>
      <c r="R940" s="146"/>
      <c r="S940" s="146"/>
      <c r="T940" s="146"/>
      <c r="U940" s="146"/>
      <c r="V940" s="146"/>
      <c r="W940" s="146"/>
      <c r="X940" s="146"/>
      <c r="Y940" s="146"/>
      <c r="Z940" s="146"/>
      <c r="AA940" s="146"/>
    </row>
    <row r="941" spans="1:27" ht="15.75" customHeight="1" x14ac:dyDescent="0.25">
      <c r="A941" s="146"/>
      <c r="B941" s="146"/>
      <c r="C941" s="146"/>
      <c r="D941" s="146"/>
      <c r="E941" s="146"/>
      <c r="F941" s="146"/>
      <c r="G941" s="146"/>
      <c r="H941" s="146"/>
      <c r="I941" s="146"/>
      <c r="J941" s="146"/>
      <c r="K941" s="146"/>
      <c r="L941" s="146"/>
      <c r="M941" s="146"/>
      <c r="N941" s="146"/>
      <c r="O941" s="146"/>
      <c r="P941" s="146"/>
      <c r="Q941" s="146"/>
      <c r="R941" s="146"/>
      <c r="S941" s="146"/>
      <c r="T941" s="146"/>
      <c r="U941" s="146"/>
      <c r="V941" s="146"/>
      <c r="W941" s="146"/>
      <c r="X941" s="146"/>
      <c r="Y941" s="146"/>
      <c r="Z941" s="146"/>
      <c r="AA941" s="146"/>
    </row>
    <row r="942" spans="1:27" ht="15.75" customHeight="1" x14ac:dyDescent="0.25">
      <c r="A942" s="146"/>
      <c r="B942" s="146"/>
      <c r="C942" s="146"/>
      <c r="D942" s="146"/>
      <c r="E942" s="146"/>
      <c r="F942" s="146"/>
      <c r="G942" s="146"/>
      <c r="H942" s="146"/>
      <c r="I942" s="146"/>
      <c r="J942" s="146"/>
      <c r="K942" s="146"/>
      <c r="L942" s="146"/>
      <c r="M942" s="146"/>
      <c r="N942" s="146"/>
      <c r="O942" s="146"/>
      <c r="P942" s="146"/>
      <c r="Q942" s="146"/>
      <c r="R942" s="146"/>
      <c r="S942" s="146"/>
      <c r="T942" s="146"/>
      <c r="U942" s="146"/>
      <c r="V942" s="146"/>
      <c r="W942" s="146"/>
      <c r="X942" s="146"/>
      <c r="Y942" s="146"/>
      <c r="Z942" s="146"/>
      <c r="AA942" s="146"/>
    </row>
    <row r="943" spans="1:27" ht="15.75" customHeight="1" x14ac:dyDescent="0.25">
      <c r="A943" s="146"/>
      <c r="B943" s="146"/>
      <c r="C943" s="146"/>
      <c r="D943" s="146"/>
      <c r="E943" s="146"/>
      <c r="F943" s="146"/>
      <c r="G943" s="146"/>
      <c r="H943" s="146"/>
      <c r="I943" s="146"/>
      <c r="J943" s="146"/>
      <c r="K943" s="146"/>
      <c r="L943" s="146"/>
      <c r="M943" s="146"/>
      <c r="N943" s="146"/>
      <c r="O943" s="146"/>
      <c r="P943" s="146"/>
      <c r="Q943" s="146"/>
      <c r="R943" s="146"/>
      <c r="S943" s="146"/>
      <c r="T943" s="146"/>
      <c r="U943" s="146"/>
      <c r="V943" s="146"/>
      <c r="W943" s="146"/>
      <c r="X943" s="146"/>
      <c r="Y943" s="146"/>
      <c r="Z943" s="146"/>
      <c r="AA943" s="146"/>
    </row>
    <row r="944" spans="1:27" ht="15.75" customHeight="1" x14ac:dyDescent="0.25">
      <c r="A944" s="146"/>
      <c r="B944" s="146"/>
      <c r="C944" s="146"/>
      <c r="D944" s="146"/>
      <c r="E944" s="146"/>
      <c r="F944" s="146"/>
      <c r="G944" s="146"/>
      <c r="H944" s="146"/>
      <c r="I944" s="146"/>
      <c r="J944" s="146"/>
      <c r="K944" s="146"/>
      <c r="L944" s="146"/>
      <c r="M944" s="146"/>
      <c r="N944" s="146"/>
      <c r="O944" s="146"/>
      <c r="P944" s="146"/>
      <c r="Q944" s="146"/>
      <c r="R944" s="146"/>
      <c r="S944" s="146"/>
      <c r="T944" s="146"/>
      <c r="U944" s="146"/>
      <c r="V944" s="146"/>
      <c r="W944" s="146"/>
      <c r="X944" s="146"/>
      <c r="Y944" s="146"/>
      <c r="Z944" s="146"/>
      <c r="AA944" s="146"/>
    </row>
    <row r="945" spans="1:27" ht="15.75" customHeight="1" x14ac:dyDescent="0.25">
      <c r="A945" s="146"/>
      <c r="B945" s="146"/>
      <c r="C945" s="146"/>
      <c r="D945" s="146"/>
      <c r="E945" s="146"/>
      <c r="F945" s="146"/>
      <c r="G945" s="146"/>
      <c r="H945" s="146"/>
      <c r="I945" s="146"/>
      <c r="J945" s="146"/>
      <c r="K945" s="146"/>
      <c r="L945" s="146"/>
      <c r="M945" s="146"/>
      <c r="N945" s="146"/>
      <c r="O945" s="146"/>
      <c r="P945" s="146"/>
      <c r="Q945" s="146"/>
      <c r="R945" s="146"/>
      <c r="S945" s="146"/>
      <c r="T945" s="146"/>
      <c r="U945" s="146"/>
      <c r="V945" s="146"/>
      <c r="W945" s="146"/>
      <c r="X945" s="146"/>
      <c r="Y945" s="146"/>
      <c r="Z945" s="146"/>
      <c r="AA945" s="146"/>
    </row>
    <row r="946" spans="1:27" ht="15.75" customHeight="1" x14ac:dyDescent="0.25">
      <c r="A946" s="146"/>
      <c r="B946" s="146"/>
      <c r="C946" s="146"/>
      <c r="D946" s="146"/>
      <c r="E946" s="146"/>
      <c r="F946" s="146"/>
      <c r="G946" s="146"/>
      <c r="H946" s="146"/>
      <c r="I946" s="146"/>
      <c r="J946" s="146"/>
      <c r="K946" s="146"/>
      <c r="L946" s="146"/>
      <c r="M946" s="146"/>
      <c r="N946" s="146"/>
      <c r="O946" s="146"/>
      <c r="P946" s="146"/>
      <c r="Q946" s="146"/>
      <c r="R946" s="146"/>
      <c r="S946" s="146"/>
      <c r="T946" s="146"/>
      <c r="U946" s="146"/>
      <c r="V946" s="146"/>
      <c r="W946" s="146"/>
      <c r="X946" s="146"/>
      <c r="Y946" s="146"/>
      <c r="Z946" s="146"/>
      <c r="AA946" s="146"/>
    </row>
    <row r="947" spans="1:27" ht="15.75" customHeight="1" x14ac:dyDescent="0.25">
      <c r="A947" s="146"/>
      <c r="B947" s="146"/>
      <c r="C947" s="146"/>
      <c r="D947" s="146"/>
      <c r="E947" s="146"/>
      <c r="F947" s="146"/>
      <c r="G947" s="146"/>
      <c r="H947" s="146"/>
      <c r="I947" s="146"/>
      <c r="J947" s="146"/>
      <c r="K947" s="146"/>
      <c r="L947" s="146"/>
      <c r="M947" s="146"/>
      <c r="N947" s="146"/>
      <c r="O947" s="146"/>
      <c r="P947" s="146"/>
      <c r="Q947" s="146"/>
      <c r="R947" s="146"/>
      <c r="S947" s="146"/>
      <c r="T947" s="146"/>
      <c r="U947" s="146"/>
      <c r="V947" s="146"/>
      <c r="W947" s="146"/>
      <c r="X947" s="146"/>
      <c r="Y947" s="146"/>
      <c r="Z947" s="146"/>
      <c r="AA947" s="146"/>
    </row>
    <row r="948" spans="1:27" ht="15.75" customHeight="1" x14ac:dyDescent="0.25">
      <c r="A948" s="146"/>
      <c r="B948" s="146"/>
      <c r="C948" s="146"/>
      <c r="D948" s="146"/>
      <c r="E948" s="146"/>
      <c r="F948" s="146"/>
      <c r="G948" s="146"/>
      <c r="H948" s="146"/>
      <c r="I948" s="146"/>
      <c r="J948" s="146"/>
      <c r="K948" s="146"/>
      <c r="L948" s="146"/>
      <c r="M948" s="146"/>
      <c r="N948" s="146"/>
      <c r="O948" s="146"/>
      <c r="P948" s="146"/>
      <c r="Q948" s="146"/>
      <c r="R948" s="146"/>
      <c r="S948" s="146"/>
      <c r="T948" s="146"/>
      <c r="U948" s="146"/>
      <c r="V948" s="146"/>
      <c r="W948" s="146"/>
      <c r="X948" s="146"/>
      <c r="Y948" s="146"/>
      <c r="Z948" s="146"/>
      <c r="AA948" s="146"/>
    </row>
    <row r="949" spans="1:27" ht="15.75" customHeight="1" x14ac:dyDescent="0.25">
      <c r="A949" s="146"/>
      <c r="B949" s="146"/>
      <c r="C949" s="146"/>
      <c r="D949" s="146"/>
      <c r="E949" s="146"/>
      <c r="F949" s="146"/>
      <c r="G949" s="146"/>
      <c r="H949" s="146"/>
      <c r="I949" s="146"/>
      <c r="J949" s="146"/>
      <c r="K949" s="146"/>
      <c r="L949" s="146"/>
      <c r="M949" s="146"/>
      <c r="N949" s="146"/>
      <c r="O949" s="146"/>
      <c r="P949" s="146"/>
      <c r="Q949" s="146"/>
      <c r="R949" s="146"/>
      <c r="S949" s="146"/>
      <c r="T949" s="146"/>
      <c r="U949" s="146"/>
      <c r="V949" s="146"/>
      <c r="W949" s="146"/>
      <c r="X949" s="146"/>
      <c r="Y949" s="146"/>
      <c r="Z949" s="146"/>
      <c r="AA949" s="146"/>
    </row>
    <row r="950" spans="1:27" ht="15.75" customHeight="1" x14ac:dyDescent="0.25">
      <c r="A950" s="146"/>
      <c r="B950" s="146"/>
      <c r="C950" s="146"/>
      <c r="D950" s="146"/>
      <c r="E950" s="146"/>
      <c r="F950" s="146"/>
      <c r="G950" s="146"/>
      <c r="H950" s="146"/>
      <c r="I950" s="146"/>
      <c r="J950" s="146"/>
      <c r="K950" s="146"/>
      <c r="L950" s="146"/>
      <c r="M950" s="146"/>
      <c r="N950" s="146"/>
      <c r="O950" s="146"/>
      <c r="P950" s="146"/>
      <c r="Q950" s="146"/>
      <c r="R950" s="146"/>
      <c r="S950" s="146"/>
      <c r="T950" s="146"/>
      <c r="U950" s="146"/>
      <c r="V950" s="146"/>
      <c r="W950" s="146"/>
      <c r="X950" s="146"/>
      <c r="Y950" s="146"/>
      <c r="Z950" s="146"/>
      <c r="AA950" s="146"/>
    </row>
    <row r="951" spans="1:27" ht="15.75" customHeight="1" x14ac:dyDescent="0.25">
      <c r="A951" s="146"/>
      <c r="B951" s="146"/>
      <c r="C951" s="146"/>
      <c r="D951" s="146"/>
      <c r="E951" s="146"/>
      <c r="F951" s="146"/>
      <c r="G951" s="146"/>
      <c r="H951" s="146"/>
      <c r="I951" s="146"/>
      <c r="J951" s="146"/>
      <c r="K951" s="146"/>
      <c r="L951" s="146"/>
      <c r="M951" s="146"/>
      <c r="N951" s="146"/>
      <c r="O951" s="146"/>
      <c r="P951" s="146"/>
      <c r="Q951" s="146"/>
      <c r="R951" s="146"/>
      <c r="S951" s="146"/>
      <c r="T951" s="146"/>
      <c r="U951" s="146"/>
      <c r="V951" s="146"/>
      <c r="W951" s="146"/>
      <c r="X951" s="146"/>
      <c r="Y951" s="146"/>
      <c r="Z951" s="146"/>
      <c r="AA951" s="146"/>
    </row>
    <row r="952" spans="1:27" ht="15.75" customHeight="1" x14ac:dyDescent="0.25">
      <c r="A952" s="146"/>
      <c r="B952" s="146"/>
      <c r="C952" s="146"/>
      <c r="D952" s="146"/>
      <c r="E952" s="146"/>
      <c r="F952" s="146"/>
      <c r="G952" s="146"/>
      <c r="H952" s="146"/>
      <c r="I952" s="146"/>
      <c r="J952" s="146"/>
      <c r="K952" s="146"/>
      <c r="L952" s="146"/>
      <c r="M952" s="146"/>
      <c r="N952" s="146"/>
      <c r="O952" s="146"/>
      <c r="P952" s="146"/>
      <c r="Q952" s="146"/>
      <c r="R952" s="146"/>
      <c r="S952" s="146"/>
      <c r="T952" s="146"/>
      <c r="U952" s="146"/>
      <c r="V952" s="146"/>
      <c r="W952" s="146"/>
      <c r="X952" s="146"/>
      <c r="Y952" s="146"/>
      <c r="Z952" s="146"/>
      <c r="AA952" s="146"/>
    </row>
    <row r="953" spans="1:27" ht="15.75" customHeight="1" x14ac:dyDescent="0.25">
      <c r="A953" s="146"/>
      <c r="B953" s="146"/>
      <c r="C953" s="146"/>
      <c r="D953" s="146"/>
      <c r="E953" s="146"/>
      <c r="F953" s="146"/>
      <c r="G953" s="146"/>
      <c r="H953" s="146"/>
      <c r="I953" s="146"/>
      <c r="J953" s="146"/>
      <c r="K953" s="146"/>
      <c r="L953" s="146"/>
      <c r="M953" s="146"/>
      <c r="N953" s="146"/>
      <c r="O953" s="146"/>
      <c r="P953" s="146"/>
      <c r="Q953" s="146"/>
      <c r="R953" s="146"/>
      <c r="S953" s="146"/>
      <c r="T953" s="146"/>
      <c r="U953" s="146"/>
      <c r="V953" s="146"/>
      <c r="W953" s="146"/>
      <c r="X953" s="146"/>
      <c r="Y953" s="146"/>
      <c r="Z953" s="146"/>
      <c r="AA953" s="146"/>
    </row>
    <row r="954" spans="1:27" ht="15.75" customHeight="1" x14ac:dyDescent="0.25">
      <c r="A954" s="146"/>
      <c r="B954" s="146"/>
      <c r="C954" s="146"/>
      <c r="D954" s="146"/>
      <c r="E954" s="146"/>
      <c r="F954" s="146"/>
      <c r="G954" s="146"/>
      <c r="H954" s="146"/>
      <c r="I954" s="146"/>
      <c r="J954" s="146"/>
      <c r="K954" s="146"/>
      <c r="L954" s="146"/>
      <c r="M954" s="146"/>
      <c r="N954" s="146"/>
      <c r="O954" s="146"/>
      <c r="P954" s="146"/>
      <c r="Q954" s="146"/>
      <c r="R954" s="146"/>
      <c r="S954" s="146"/>
      <c r="T954" s="146"/>
      <c r="U954" s="146"/>
      <c r="V954" s="146"/>
      <c r="W954" s="146"/>
      <c r="X954" s="146"/>
      <c r="Y954" s="146"/>
      <c r="Z954" s="146"/>
      <c r="AA954" s="146"/>
    </row>
    <row r="955" spans="1:27" ht="15.75" customHeight="1" x14ac:dyDescent="0.25">
      <c r="A955" s="146"/>
      <c r="B955" s="146"/>
      <c r="C955" s="146"/>
      <c r="D955" s="146"/>
      <c r="E955" s="146"/>
      <c r="F955" s="146"/>
      <c r="G955" s="146"/>
      <c r="H955" s="146"/>
      <c r="I955" s="146"/>
      <c r="J955" s="146"/>
      <c r="K955" s="146"/>
      <c r="L955" s="146"/>
      <c r="M955" s="146"/>
      <c r="N955" s="146"/>
      <c r="O955" s="146"/>
      <c r="P955" s="146"/>
      <c r="Q955" s="146"/>
      <c r="R955" s="146"/>
      <c r="S955" s="146"/>
      <c r="T955" s="146"/>
      <c r="U955" s="146"/>
      <c r="V955" s="146"/>
      <c r="W955" s="146"/>
      <c r="X955" s="146"/>
      <c r="Y955" s="146"/>
      <c r="Z955" s="146"/>
      <c r="AA955" s="146"/>
    </row>
    <row r="956" spans="1:27" ht="15.75" customHeight="1" x14ac:dyDescent="0.25">
      <c r="A956" s="146"/>
      <c r="B956" s="146"/>
      <c r="C956" s="146"/>
      <c r="D956" s="146"/>
      <c r="E956" s="146"/>
      <c r="F956" s="146"/>
      <c r="G956" s="146"/>
      <c r="H956" s="146"/>
      <c r="I956" s="146"/>
      <c r="J956" s="146"/>
      <c r="K956" s="146"/>
      <c r="L956" s="146"/>
      <c r="M956" s="146"/>
      <c r="N956" s="146"/>
      <c r="O956" s="146"/>
      <c r="P956" s="146"/>
      <c r="Q956" s="146"/>
      <c r="R956" s="146"/>
      <c r="S956" s="146"/>
      <c r="T956" s="146"/>
      <c r="U956" s="146"/>
      <c r="V956" s="146"/>
      <c r="W956" s="146"/>
      <c r="X956" s="146"/>
      <c r="Y956" s="146"/>
      <c r="Z956" s="146"/>
      <c r="AA956" s="146"/>
    </row>
    <row r="957" spans="1:27" ht="15.75" customHeight="1" x14ac:dyDescent="0.25">
      <c r="A957" s="146"/>
      <c r="B957" s="146"/>
      <c r="C957" s="146"/>
      <c r="D957" s="146"/>
      <c r="E957" s="146"/>
      <c r="F957" s="146"/>
      <c r="G957" s="146"/>
      <c r="H957" s="146"/>
      <c r="I957" s="146"/>
      <c r="J957" s="146"/>
      <c r="K957" s="146"/>
      <c r="L957" s="146"/>
      <c r="M957" s="146"/>
      <c r="N957" s="146"/>
      <c r="O957" s="146"/>
      <c r="P957" s="146"/>
      <c r="Q957" s="146"/>
      <c r="R957" s="146"/>
      <c r="S957" s="146"/>
      <c r="T957" s="146"/>
      <c r="U957" s="146"/>
      <c r="V957" s="146"/>
      <c r="W957" s="146"/>
      <c r="X957" s="146"/>
      <c r="Y957" s="146"/>
      <c r="Z957" s="146"/>
      <c r="AA957" s="146"/>
    </row>
    <row r="958" spans="1:27" ht="15.75" customHeight="1" x14ac:dyDescent="0.25">
      <c r="A958" s="146"/>
      <c r="B958" s="146"/>
      <c r="C958" s="146"/>
      <c r="D958" s="146"/>
      <c r="E958" s="146"/>
      <c r="F958" s="146"/>
      <c r="G958" s="146"/>
      <c r="H958" s="146"/>
      <c r="I958" s="146"/>
      <c r="J958" s="146"/>
      <c r="K958" s="146"/>
      <c r="L958" s="146"/>
      <c r="M958" s="146"/>
      <c r="N958" s="146"/>
      <c r="O958" s="146"/>
      <c r="P958" s="146"/>
      <c r="Q958" s="146"/>
      <c r="R958" s="146"/>
      <c r="S958" s="146"/>
      <c r="T958" s="146"/>
      <c r="U958" s="146"/>
      <c r="V958" s="146"/>
      <c r="W958" s="146"/>
      <c r="X958" s="146"/>
      <c r="Y958" s="146"/>
      <c r="Z958" s="146"/>
      <c r="AA958" s="146"/>
    </row>
    <row r="959" spans="1:27" ht="15.75" customHeight="1" x14ac:dyDescent="0.25">
      <c r="A959" s="146"/>
      <c r="B959" s="146"/>
      <c r="C959" s="146"/>
      <c r="D959" s="146"/>
      <c r="E959" s="146"/>
      <c r="F959" s="146"/>
      <c r="G959" s="146"/>
      <c r="H959" s="146"/>
      <c r="I959" s="146"/>
      <c r="J959" s="146"/>
      <c r="K959" s="146"/>
      <c r="L959" s="146"/>
      <c r="M959" s="146"/>
      <c r="N959" s="146"/>
      <c r="O959" s="146"/>
      <c r="P959" s="146"/>
      <c r="Q959" s="146"/>
      <c r="R959" s="146"/>
      <c r="S959" s="146"/>
      <c r="T959" s="146"/>
      <c r="U959" s="146"/>
      <c r="V959" s="146"/>
      <c r="W959" s="146"/>
      <c r="X959" s="146"/>
      <c r="Y959" s="146"/>
      <c r="Z959" s="146"/>
      <c r="AA959" s="146"/>
    </row>
    <row r="960" spans="1:27" ht="15.75" customHeight="1" x14ac:dyDescent="0.25">
      <c r="A960" s="146"/>
      <c r="B960" s="146"/>
      <c r="C960" s="146"/>
      <c r="D960" s="146"/>
      <c r="E960" s="146"/>
      <c r="F960" s="146"/>
      <c r="G960" s="146"/>
      <c r="H960" s="146"/>
      <c r="I960" s="146"/>
      <c r="J960" s="146"/>
      <c r="K960" s="146"/>
      <c r="L960" s="146"/>
      <c r="M960" s="146"/>
      <c r="N960" s="146"/>
      <c r="O960" s="146"/>
      <c r="P960" s="146"/>
      <c r="Q960" s="146"/>
      <c r="R960" s="146"/>
      <c r="S960" s="146"/>
      <c r="T960" s="146"/>
      <c r="U960" s="146"/>
      <c r="V960" s="146"/>
      <c r="W960" s="146"/>
      <c r="X960" s="146"/>
      <c r="Y960" s="146"/>
      <c r="Z960" s="146"/>
      <c r="AA960" s="146"/>
    </row>
    <row r="961" spans="1:27" ht="15.75" customHeight="1" x14ac:dyDescent="0.25">
      <c r="A961" s="146"/>
      <c r="B961" s="146"/>
      <c r="C961" s="146"/>
      <c r="D961" s="146"/>
      <c r="E961" s="146"/>
      <c r="F961" s="146"/>
      <c r="G961" s="146"/>
      <c r="H961" s="146"/>
      <c r="I961" s="146"/>
      <c r="J961" s="146"/>
      <c r="K961" s="146"/>
      <c r="L961" s="146"/>
      <c r="M961" s="146"/>
      <c r="N961" s="146"/>
      <c r="O961" s="146"/>
      <c r="P961" s="146"/>
      <c r="Q961" s="146"/>
      <c r="R961" s="146"/>
      <c r="S961" s="146"/>
      <c r="T961" s="146"/>
      <c r="U961" s="146"/>
      <c r="V961" s="146"/>
      <c r="W961" s="146"/>
      <c r="X961" s="146"/>
      <c r="Y961" s="146"/>
      <c r="Z961" s="146"/>
      <c r="AA961" s="146"/>
    </row>
    <row r="962" spans="1:27" ht="15.75" customHeight="1" x14ac:dyDescent="0.25">
      <c r="A962" s="146"/>
      <c r="B962" s="146"/>
      <c r="C962" s="146"/>
      <c r="D962" s="146"/>
      <c r="E962" s="146"/>
      <c r="F962" s="146"/>
      <c r="G962" s="146"/>
      <c r="H962" s="146"/>
      <c r="I962" s="146"/>
      <c r="J962" s="146"/>
      <c r="K962" s="146"/>
      <c r="L962" s="146"/>
      <c r="M962" s="146"/>
      <c r="N962" s="146"/>
      <c r="O962" s="146"/>
      <c r="P962" s="146"/>
      <c r="Q962" s="146"/>
      <c r="R962" s="146"/>
      <c r="S962" s="146"/>
      <c r="T962" s="146"/>
      <c r="U962" s="146"/>
      <c r="V962" s="146"/>
      <c r="W962" s="146"/>
      <c r="X962" s="146"/>
      <c r="Y962" s="146"/>
      <c r="Z962" s="146"/>
      <c r="AA962" s="146"/>
    </row>
    <row r="963" spans="1:27" ht="15.75" customHeight="1" x14ac:dyDescent="0.25">
      <c r="A963" s="146"/>
      <c r="B963" s="146"/>
      <c r="C963" s="146"/>
      <c r="D963" s="146"/>
      <c r="E963" s="146"/>
      <c r="F963" s="146"/>
      <c r="G963" s="146"/>
      <c r="H963" s="146"/>
      <c r="I963" s="146"/>
      <c r="J963" s="146"/>
      <c r="K963" s="146"/>
      <c r="L963" s="146"/>
      <c r="M963" s="146"/>
      <c r="N963" s="146"/>
      <c r="O963" s="146"/>
      <c r="P963" s="146"/>
      <c r="Q963" s="146"/>
      <c r="R963" s="146"/>
      <c r="S963" s="146"/>
      <c r="T963" s="146"/>
      <c r="U963" s="146"/>
      <c r="V963" s="146"/>
      <c r="W963" s="146"/>
      <c r="X963" s="146"/>
      <c r="Y963" s="146"/>
      <c r="Z963" s="146"/>
      <c r="AA963" s="146"/>
    </row>
    <row r="964" spans="1:27" ht="15.75" customHeight="1" x14ac:dyDescent="0.25">
      <c r="A964" s="146"/>
      <c r="B964" s="146"/>
      <c r="C964" s="146"/>
      <c r="D964" s="146"/>
      <c r="E964" s="146"/>
      <c r="F964" s="146"/>
      <c r="G964" s="146"/>
      <c r="H964" s="146"/>
      <c r="I964" s="146"/>
      <c r="J964" s="146"/>
      <c r="K964" s="146"/>
      <c r="L964" s="146"/>
      <c r="M964" s="146"/>
      <c r="N964" s="146"/>
      <c r="O964" s="146"/>
      <c r="P964" s="146"/>
      <c r="Q964" s="146"/>
      <c r="R964" s="146"/>
      <c r="S964" s="146"/>
      <c r="T964" s="146"/>
      <c r="U964" s="146"/>
      <c r="V964" s="146"/>
      <c r="W964" s="146"/>
      <c r="X964" s="146"/>
      <c r="Y964" s="146"/>
      <c r="Z964" s="146"/>
      <c r="AA964" s="146"/>
    </row>
    <row r="965" spans="1:27" ht="15.75" customHeight="1" x14ac:dyDescent="0.25">
      <c r="A965" s="146"/>
      <c r="B965" s="146"/>
      <c r="C965" s="146"/>
      <c r="D965" s="146"/>
      <c r="E965" s="146"/>
      <c r="F965" s="146"/>
      <c r="G965" s="146"/>
      <c r="H965" s="146"/>
      <c r="I965" s="146"/>
      <c r="J965" s="146"/>
      <c r="K965" s="146"/>
      <c r="L965" s="146"/>
      <c r="M965" s="146"/>
      <c r="N965" s="146"/>
      <c r="O965" s="146"/>
      <c r="P965" s="146"/>
      <c r="Q965" s="146"/>
      <c r="R965" s="146"/>
      <c r="S965" s="146"/>
      <c r="T965" s="146"/>
      <c r="U965" s="146"/>
      <c r="V965" s="146"/>
      <c r="W965" s="146"/>
      <c r="X965" s="146"/>
      <c r="Y965" s="146"/>
      <c r="Z965" s="146"/>
      <c r="AA965" s="146"/>
    </row>
    <row r="966" spans="1:27" ht="15.75" customHeight="1" x14ac:dyDescent="0.25">
      <c r="A966" s="146"/>
      <c r="B966" s="146"/>
      <c r="C966" s="146"/>
      <c r="D966" s="146"/>
      <c r="E966" s="146"/>
      <c r="F966" s="146"/>
      <c r="G966" s="146"/>
      <c r="H966" s="146"/>
      <c r="I966" s="146"/>
      <c r="J966" s="146"/>
      <c r="K966" s="146"/>
      <c r="L966" s="146"/>
      <c r="M966" s="146"/>
      <c r="N966" s="146"/>
      <c r="O966" s="146"/>
      <c r="P966" s="146"/>
      <c r="Q966" s="146"/>
      <c r="R966" s="146"/>
      <c r="S966" s="146"/>
      <c r="T966" s="146"/>
      <c r="U966" s="146"/>
      <c r="V966" s="146"/>
      <c r="W966" s="146"/>
      <c r="X966" s="146"/>
      <c r="Y966" s="146"/>
      <c r="Z966" s="146"/>
      <c r="AA966" s="146"/>
    </row>
    <row r="967" spans="1:27" ht="15.75" customHeight="1" x14ac:dyDescent="0.25">
      <c r="A967" s="146"/>
      <c r="B967" s="146"/>
      <c r="C967" s="146"/>
      <c r="D967" s="146"/>
      <c r="E967" s="146"/>
      <c r="F967" s="146"/>
      <c r="G967" s="146"/>
      <c r="H967" s="146"/>
      <c r="I967" s="146"/>
      <c r="J967" s="146"/>
      <c r="K967" s="146"/>
      <c r="L967" s="146"/>
      <c r="M967" s="146"/>
      <c r="N967" s="146"/>
      <c r="O967" s="146"/>
      <c r="P967" s="146"/>
      <c r="Q967" s="146"/>
      <c r="R967" s="146"/>
      <c r="S967" s="146"/>
      <c r="T967" s="146"/>
      <c r="U967" s="146"/>
      <c r="V967" s="146"/>
      <c r="W967" s="146"/>
      <c r="X967" s="146"/>
      <c r="Y967" s="146"/>
      <c r="Z967" s="146"/>
      <c r="AA967" s="146"/>
    </row>
    <row r="968" spans="1:27" ht="15.75" customHeight="1" x14ac:dyDescent="0.25">
      <c r="A968" s="146"/>
      <c r="B968" s="146"/>
      <c r="C968" s="146"/>
      <c r="D968" s="146"/>
      <c r="E968" s="146"/>
      <c r="F968" s="146"/>
      <c r="G968" s="146"/>
      <c r="H968" s="146"/>
      <c r="I968" s="146"/>
      <c r="J968" s="146"/>
      <c r="K968" s="146"/>
      <c r="L968" s="146"/>
      <c r="M968" s="146"/>
      <c r="N968" s="146"/>
      <c r="O968" s="146"/>
      <c r="P968" s="146"/>
      <c r="Q968" s="146"/>
      <c r="R968" s="146"/>
      <c r="S968" s="146"/>
      <c r="T968" s="146"/>
      <c r="U968" s="146"/>
      <c r="V968" s="146"/>
      <c r="W968" s="146"/>
      <c r="X968" s="146"/>
      <c r="Y968" s="146"/>
      <c r="Z968" s="146"/>
      <c r="AA968" s="146"/>
    </row>
    <row r="969" spans="1:27" ht="15.75" customHeight="1" x14ac:dyDescent="0.25">
      <c r="A969" s="146"/>
      <c r="B969" s="146"/>
      <c r="C969" s="146"/>
      <c r="D969" s="146"/>
      <c r="E969" s="146"/>
      <c r="F969" s="146"/>
      <c r="G969" s="146"/>
      <c r="H969" s="146"/>
      <c r="I969" s="146"/>
      <c r="J969" s="146"/>
      <c r="K969" s="146"/>
      <c r="L969" s="146"/>
      <c r="M969" s="146"/>
      <c r="N969" s="146"/>
      <c r="O969" s="146"/>
      <c r="P969" s="146"/>
      <c r="Q969" s="146"/>
      <c r="R969" s="146"/>
      <c r="S969" s="146"/>
      <c r="T969" s="146"/>
      <c r="U969" s="146"/>
      <c r="V969" s="146"/>
      <c r="W969" s="146"/>
      <c r="X969" s="146"/>
      <c r="Y969" s="146"/>
      <c r="Z969" s="146"/>
      <c r="AA969" s="146"/>
    </row>
    <row r="970" spans="1:27" ht="15.75" customHeight="1" x14ac:dyDescent="0.25">
      <c r="A970" s="146"/>
      <c r="B970" s="146"/>
      <c r="C970" s="146"/>
      <c r="D970" s="146"/>
      <c r="E970" s="146"/>
      <c r="F970" s="146"/>
      <c r="G970" s="146"/>
      <c r="H970" s="146"/>
      <c r="I970" s="146"/>
      <c r="J970" s="146"/>
      <c r="K970" s="146"/>
      <c r="L970" s="146"/>
      <c r="M970" s="146"/>
      <c r="N970" s="146"/>
      <c r="O970" s="146"/>
      <c r="P970" s="146"/>
      <c r="Q970" s="146"/>
      <c r="R970" s="146"/>
      <c r="S970" s="146"/>
      <c r="T970" s="146"/>
      <c r="U970" s="146"/>
      <c r="V970" s="146"/>
      <c r="W970" s="146"/>
      <c r="X970" s="146"/>
      <c r="Y970" s="146"/>
      <c r="Z970" s="146"/>
      <c r="AA970" s="146"/>
    </row>
    <row r="971" spans="1:27" ht="15.75" customHeight="1" x14ac:dyDescent="0.25">
      <c r="A971" s="146"/>
      <c r="B971" s="146"/>
      <c r="C971" s="146"/>
      <c r="D971" s="146"/>
      <c r="E971" s="146"/>
      <c r="F971" s="146"/>
      <c r="G971" s="146"/>
      <c r="H971" s="146"/>
      <c r="I971" s="146"/>
      <c r="J971" s="146"/>
      <c r="K971" s="146"/>
      <c r="L971" s="146"/>
      <c r="M971" s="146"/>
      <c r="N971" s="146"/>
      <c r="O971" s="146"/>
      <c r="P971" s="146"/>
      <c r="Q971" s="146"/>
      <c r="R971" s="146"/>
      <c r="S971" s="146"/>
      <c r="T971" s="146"/>
      <c r="U971" s="146"/>
      <c r="V971" s="146"/>
      <c r="W971" s="146"/>
      <c r="X971" s="146"/>
      <c r="Y971" s="146"/>
      <c r="Z971" s="146"/>
      <c r="AA971" s="146"/>
    </row>
    <row r="972" spans="1:27" ht="15.75" customHeight="1" x14ac:dyDescent="0.25">
      <c r="A972" s="146"/>
      <c r="B972" s="146"/>
      <c r="C972" s="146"/>
      <c r="D972" s="146"/>
      <c r="E972" s="146"/>
      <c r="F972" s="146"/>
      <c r="G972" s="146"/>
      <c r="H972" s="146"/>
      <c r="I972" s="146"/>
      <c r="J972" s="146"/>
      <c r="K972" s="146"/>
      <c r="L972" s="146"/>
      <c r="M972" s="146"/>
      <c r="N972" s="146"/>
      <c r="O972" s="146"/>
      <c r="P972" s="146"/>
      <c r="Q972" s="146"/>
      <c r="R972" s="146"/>
      <c r="S972" s="146"/>
      <c r="T972" s="146"/>
      <c r="U972" s="146"/>
      <c r="V972" s="146"/>
      <c r="W972" s="146"/>
      <c r="X972" s="146"/>
      <c r="Y972" s="146"/>
      <c r="Z972" s="146"/>
      <c r="AA972" s="146"/>
    </row>
    <row r="973" spans="1:27" ht="15.75" customHeight="1" x14ac:dyDescent="0.25">
      <c r="A973" s="146"/>
      <c r="B973" s="146"/>
      <c r="C973" s="146"/>
      <c r="D973" s="146"/>
      <c r="E973" s="146"/>
      <c r="F973" s="146"/>
      <c r="G973" s="146"/>
      <c r="H973" s="146"/>
      <c r="I973" s="146"/>
      <c r="J973" s="146"/>
      <c r="K973" s="146"/>
      <c r="L973" s="146"/>
      <c r="M973" s="146"/>
      <c r="N973" s="146"/>
      <c r="O973" s="146"/>
      <c r="P973" s="146"/>
      <c r="Q973" s="146"/>
      <c r="R973" s="146"/>
      <c r="S973" s="146"/>
      <c r="T973" s="146"/>
      <c r="U973" s="146"/>
      <c r="V973" s="146"/>
      <c r="W973" s="146"/>
      <c r="X973" s="146"/>
      <c r="Y973" s="146"/>
      <c r="Z973" s="146"/>
      <c r="AA973" s="146"/>
    </row>
    <row r="974" spans="1:27" ht="15.75" customHeight="1" x14ac:dyDescent="0.25">
      <c r="A974" s="146"/>
      <c r="B974" s="146"/>
      <c r="C974" s="146"/>
      <c r="D974" s="146"/>
      <c r="E974" s="146"/>
      <c r="F974" s="146"/>
      <c r="G974" s="146"/>
      <c r="H974" s="146"/>
      <c r="I974" s="146"/>
      <c r="J974" s="146"/>
      <c r="K974" s="146"/>
      <c r="L974" s="146"/>
      <c r="M974" s="146"/>
      <c r="N974" s="146"/>
      <c r="O974" s="146"/>
      <c r="P974" s="146"/>
      <c r="Q974" s="146"/>
      <c r="R974" s="146"/>
      <c r="S974" s="146"/>
      <c r="T974" s="146"/>
      <c r="U974" s="146"/>
      <c r="V974" s="146"/>
      <c r="W974" s="146"/>
      <c r="X974" s="146"/>
      <c r="Y974" s="146"/>
      <c r="Z974" s="146"/>
      <c r="AA974" s="146"/>
    </row>
    <row r="975" spans="1:27" ht="15.75" customHeight="1" x14ac:dyDescent="0.25">
      <c r="A975" s="146"/>
      <c r="B975" s="146"/>
      <c r="C975" s="146"/>
      <c r="D975" s="146"/>
      <c r="E975" s="146"/>
      <c r="F975" s="146"/>
      <c r="G975" s="146"/>
      <c r="H975" s="146"/>
      <c r="I975" s="146"/>
      <c r="J975" s="146"/>
      <c r="K975" s="146"/>
      <c r="L975" s="146"/>
      <c r="M975" s="146"/>
      <c r="N975" s="146"/>
      <c r="O975" s="146"/>
      <c r="P975" s="146"/>
      <c r="Q975" s="146"/>
      <c r="R975" s="146"/>
      <c r="S975" s="146"/>
      <c r="T975" s="146"/>
      <c r="U975" s="146"/>
      <c r="V975" s="146"/>
      <c r="W975" s="146"/>
      <c r="X975" s="146"/>
      <c r="Y975" s="146"/>
      <c r="Z975" s="146"/>
      <c r="AA975" s="146"/>
    </row>
    <row r="976" spans="1:27" ht="15.75" customHeight="1" x14ac:dyDescent="0.25">
      <c r="A976" s="146"/>
      <c r="B976" s="146"/>
      <c r="C976" s="146"/>
      <c r="D976" s="146"/>
      <c r="E976" s="146"/>
      <c r="F976" s="146"/>
      <c r="G976" s="146"/>
      <c r="H976" s="146"/>
      <c r="I976" s="146"/>
      <c r="J976" s="146"/>
      <c r="K976" s="146"/>
      <c r="L976" s="146"/>
      <c r="M976" s="146"/>
      <c r="N976" s="146"/>
      <c r="O976" s="146"/>
      <c r="P976" s="146"/>
      <c r="Q976" s="146"/>
      <c r="R976" s="146"/>
      <c r="S976" s="146"/>
      <c r="T976" s="146"/>
      <c r="U976" s="146"/>
      <c r="V976" s="146"/>
      <c r="W976" s="146"/>
      <c r="X976" s="146"/>
      <c r="Y976" s="146"/>
      <c r="Z976" s="146"/>
      <c r="AA976" s="146"/>
    </row>
    <row r="977" spans="1:27" ht="15.75" customHeight="1" x14ac:dyDescent="0.25">
      <c r="A977" s="146"/>
      <c r="B977" s="146"/>
      <c r="C977" s="146"/>
      <c r="D977" s="146"/>
      <c r="E977" s="146"/>
      <c r="F977" s="146"/>
      <c r="G977" s="146"/>
      <c r="H977" s="146"/>
      <c r="I977" s="146"/>
      <c r="J977" s="146"/>
      <c r="K977" s="146"/>
      <c r="L977" s="146"/>
      <c r="M977" s="146"/>
      <c r="N977" s="146"/>
      <c r="O977" s="146"/>
      <c r="P977" s="146"/>
      <c r="Q977" s="146"/>
      <c r="R977" s="146"/>
      <c r="S977" s="146"/>
      <c r="T977" s="146"/>
      <c r="U977" s="146"/>
      <c r="V977" s="146"/>
      <c r="W977" s="146"/>
      <c r="X977" s="146"/>
      <c r="Y977" s="146"/>
      <c r="Z977" s="146"/>
      <c r="AA977" s="146"/>
    </row>
    <row r="978" spans="1:27" ht="15.75" customHeight="1" x14ac:dyDescent="0.25">
      <c r="A978" s="146"/>
      <c r="B978" s="146"/>
      <c r="C978" s="146"/>
      <c r="D978" s="146"/>
      <c r="E978" s="146"/>
      <c r="F978" s="146"/>
      <c r="G978" s="146"/>
      <c r="H978" s="146"/>
      <c r="I978" s="146"/>
      <c r="J978" s="146"/>
      <c r="K978" s="146"/>
      <c r="L978" s="146"/>
      <c r="M978" s="146"/>
      <c r="N978" s="146"/>
      <c r="O978" s="146"/>
      <c r="P978" s="146"/>
      <c r="Q978" s="146"/>
      <c r="R978" s="146"/>
      <c r="S978" s="146"/>
      <c r="T978" s="146"/>
      <c r="U978" s="146"/>
      <c r="V978" s="146"/>
      <c r="W978" s="146"/>
      <c r="X978" s="146"/>
      <c r="Y978" s="146"/>
      <c r="Z978" s="146"/>
      <c r="AA978" s="146"/>
    </row>
    <row r="979" spans="1:27" ht="15.75" customHeight="1" x14ac:dyDescent="0.25">
      <c r="A979" s="146"/>
      <c r="B979" s="146"/>
      <c r="C979" s="146"/>
      <c r="D979" s="146"/>
      <c r="E979" s="146"/>
      <c r="F979" s="146"/>
      <c r="G979" s="146"/>
      <c r="H979" s="146"/>
      <c r="I979" s="146"/>
      <c r="J979" s="146"/>
      <c r="K979" s="146"/>
      <c r="L979" s="146"/>
      <c r="M979" s="146"/>
      <c r="N979" s="146"/>
      <c r="O979" s="146"/>
      <c r="P979" s="146"/>
      <c r="Q979" s="146"/>
      <c r="R979" s="146"/>
      <c r="S979" s="146"/>
      <c r="T979" s="146"/>
      <c r="U979" s="146"/>
      <c r="V979" s="146"/>
      <c r="W979" s="146"/>
      <c r="X979" s="146"/>
      <c r="Y979" s="146"/>
      <c r="Z979" s="146"/>
      <c r="AA979" s="146"/>
    </row>
    <row r="980" spans="1:27" ht="15.75" customHeight="1" x14ac:dyDescent="0.25">
      <c r="A980" s="146"/>
      <c r="B980" s="146"/>
      <c r="C980" s="146"/>
      <c r="D980" s="146"/>
      <c r="E980" s="146"/>
      <c r="F980" s="146"/>
      <c r="G980" s="146"/>
      <c r="H980" s="146"/>
      <c r="I980" s="146"/>
      <c r="J980" s="146"/>
      <c r="K980" s="146"/>
      <c r="L980" s="146"/>
      <c r="M980" s="146"/>
      <c r="N980" s="146"/>
      <c r="O980" s="146"/>
      <c r="P980" s="146"/>
      <c r="Q980" s="146"/>
      <c r="R980" s="146"/>
      <c r="S980" s="146"/>
      <c r="T980" s="146"/>
      <c r="U980" s="146"/>
      <c r="V980" s="146"/>
      <c r="W980" s="146"/>
      <c r="X980" s="146"/>
      <c r="Y980" s="146"/>
      <c r="Z980" s="146"/>
      <c r="AA980" s="146"/>
    </row>
    <row r="981" spans="1:27" ht="15.75" customHeight="1" x14ac:dyDescent="0.25">
      <c r="A981" s="146"/>
      <c r="B981" s="146"/>
      <c r="C981" s="146"/>
      <c r="D981" s="146"/>
      <c r="E981" s="146"/>
      <c r="F981" s="146"/>
      <c r="G981" s="146"/>
      <c r="H981" s="146"/>
      <c r="I981" s="146"/>
      <c r="J981" s="146"/>
      <c r="K981" s="146"/>
      <c r="L981" s="146"/>
      <c r="M981" s="146"/>
      <c r="N981" s="146"/>
      <c r="O981" s="146"/>
      <c r="P981" s="146"/>
      <c r="Q981" s="146"/>
      <c r="R981" s="146"/>
      <c r="S981" s="146"/>
      <c r="T981" s="146"/>
      <c r="U981" s="146"/>
      <c r="V981" s="146"/>
      <c r="W981" s="146"/>
      <c r="X981" s="146"/>
      <c r="Y981" s="146"/>
      <c r="Z981" s="146"/>
      <c r="AA981" s="146"/>
    </row>
    <row r="982" spans="1:27" ht="15.75" customHeight="1" x14ac:dyDescent="0.25">
      <c r="A982" s="146"/>
      <c r="B982" s="146"/>
      <c r="C982" s="146"/>
      <c r="D982" s="146"/>
      <c r="E982" s="146"/>
      <c r="F982" s="146"/>
      <c r="G982" s="146"/>
      <c r="H982" s="146"/>
      <c r="I982" s="146"/>
      <c r="J982" s="146"/>
      <c r="K982" s="146"/>
      <c r="L982" s="146"/>
      <c r="M982" s="146"/>
      <c r="N982" s="146"/>
      <c r="O982" s="146"/>
      <c r="P982" s="146"/>
      <c r="Q982" s="146"/>
      <c r="R982" s="146"/>
      <c r="S982" s="146"/>
      <c r="T982" s="146"/>
      <c r="U982" s="146"/>
      <c r="V982" s="146"/>
      <c r="W982" s="146"/>
      <c r="X982" s="146"/>
      <c r="Y982" s="146"/>
      <c r="Z982" s="146"/>
      <c r="AA982" s="146"/>
    </row>
    <row r="983" spans="1:27" ht="15.75" customHeight="1" x14ac:dyDescent="0.25">
      <c r="A983" s="146"/>
      <c r="B983" s="146"/>
      <c r="C983" s="146"/>
      <c r="D983" s="146"/>
      <c r="E983" s="146"/>
      <c r="F983" s="146"/>
      <c r="G983" s="146"/>
      <c r="H983" s="146"/>
      <c r="I983" s="146"/>
      <c r="J983" s="146"/>
      <c r="K983" s="146"/>
      <c r="L983" s="146"/>
      <c r="M983" s="146"/>
      <c r="N983" s="146"/>
      <c r="O983" s="146"/>
      <c r="P983" s="146"/>
      <c r="Q983" s="146"/>
      <c r="R983" s="146"/>
      <c r="S983" s="146"/>
      <c r="T983" s="146"/>
      <c r="U983" s="146"/>
      <c r="V983" s="146"/>
      <c r="W983" s="146"/>
      <c r="X983" s="146"/>
      <c r="Y983" s="146"/>
      <c r="Z983" s="146"/>
      <c r="AA983" s="146"/>
    </row>
    <row r="984" spans="1:27" ht="15.75" customHeight="1" x14ac:dyDescent="0.25">
      <c r="A984" s="146"/>
      <c r="B984" s="146"/>
      <c r="C984" s="146"/>
      <c r="D984" s="146"/>
      <c r="E984" s="146"/>
      <c r="F984" s="146"/>
      <c r="G984" s="146"/>
      <c r="H984" s="146"/>
      <c r="I984" s="146"/>
      <c r="J984" s="146"/>
      <c r="K984" s="146"/>
      <c r="L984" s="146"/>
      <c r="M984" s="146"/>
      <c r="N984" s="146"/>
      <c r="O984" s="146"/>
      <c r="P984" s="146"/>
      <c r="Q984" s="146"/>
      <c r="R984" s="146"/>
      <c r="S984" s="146"/>
      <c r="T984" s="146"/>
      <c r="U984" s="146"/>
      <c r="V984" s="146"/>
      <c r="W984" s="146"/>
      <c r="X984" s="146"/>
      <c r="Y984" s="146"/>
      <c r="Z984" s="146"/>
      <c r="AA984" s="146"/>
    </row>
    <row r="985" spans="1:27" ht="15.75" customHeight="1" x14ac:dyDescent="0.25">
      <c r="A985" s="146"/>
      <c r="B985" s="146"/>
      <c r="C985" s="146"/>
      <c r="D985" s="146"/>
      <c r="E985" s="146"/>
      <c r="F985" s="146"/>
      <c r="G985" s="146"/>
      <c r="H985" s="146"/>
      <c r="I985" s="146"/>
      <c r="J985" s="146"/>
      <c r="K985" s="146"/>
      <c r="L985" s="146"/>
      <c r="M985" s="146"/>
      <c r="N985" s="146"/>
      <c r="O985" s="146"/>
      <c r="P985" s="146"/>
      <c r="Q985" s="146"/>
      <c r="R985" s="146"/>
      <c r="S985" s="146"/>
      <c r="T985" s="146"/>
      <c r="U985" s="146"/>
      <c r="V985" s="146"/>
      <c r="W985" s="146"/>
      <c r="X985" s="146"/>
      <c r="Y985" s="146"/>
      <c r="Z985" s="146"/>
      <c r="AA985" s="146"/>
    </row>
    <row r="986" spans="1:27" ht="15.75" customHeight="1" x14ac:dyDescent="0.25">
      <c r="A986" s="146"/>
      <c r="B986" s="146"/>
      <c r="C986" s="146"/>
      <c r="D986" s="146"/>
      <c r="E986" s="146"/>
      <c r="F986" s="146"/>
      <c r="G986" s="146"/>
      <c r="H986" s="146"/>
      <c r="I986" s="146"/>
      <c r="J986" s="146"/>
      <c r="K986" s="146"/>
      <c r="L986" s="146"/>
      <c r="M986" s="146"/>
      <c r="N986" s="146"/>
      <c r="O986" s="146"/>
      <c r="P986" s="146"/>
      <c r="Q986" s="146"/>
      <c r="R986" s="146"/>
      <c r="S986" s="146"/>
      <c r="T986" s="146"/>
      <c r="U986" s="146"/>
      <c r="V986" s="146"/>
      <c r="W986" s="146"/>
      <c r="X986" s="146"/>
      <c r="Y986" s="146"/>
      <c r="Z986" s="146"/>
      <c r="AA986" s="146"/>
    </row>
    <row r="987" spans="1:27" ht="15.75" customHeight="1" x14ac:dyDescent="0.25">
      <c r="A987" s="146"/>
      <c r="B987" s="146"/>
      <c r="C987" s="146"/>
      <c r="D987" s="146"/>
      <c r="E987" s="146"/>
      <c r="F987" s="146"/>
      <c r="G987" s="146"/>
      <c r="H987" s="146"/>
      <c r="I987" s="146"/>
      <c r="J987" s="146"/>
      <c r="K987" s="146"/>
      <c r="L987" s="146"/>
      <c r="M987" s="146"/>
      <c r="N987" s="146"/>
      <c r="O987" s="146"/>
      <c r="P987" s="146"/>
      <c r="Q987" s="146"/>
      <c r="R987" s="146"/>
      <c r="S987" s="146"/>
      <c r="T987" s="146"/>
      <c r="U987" s="146"/>
      <c r="V987" s="146"/>
      <c r="W987" s="146"/>
      <c r="X987" s="146"/>
      <c r="Y987" s="146"/>
      <c r="Z987" s="146"/>
      <c r="AA987" s="146"/>
    </row>
    <row r="988" spans="1:27" ht="15.75" customHeight="1" x14ac:dyDescent="0.25">
      <c r="A988" s="146"/>
      <c r="B988" s="146"/>
      <c r="C988" s="146"/>
      <c r="D988" s="146"/>
      <c r="E988" s="146"/>
      <c r="F988" s="146"/>
      <c r="G988" s="146"/>
      <c r="H988" s="146"/>
      <c r="I988" s="146"/>
      <c r="J988" s="146"/>
      <c r="K988" s="146"/>
      <c r="L988" s="146"/>
      <c r="M988" s="146"/>
      <c r="N988" s="146"/>
      <c r="O988" s="146"/>
      <c r="P988" s="146"/>
      <c r="Q988" s="146"/>
      <c r="R988" s="146"/>
      <c r="S988" s="146"/>
      <c r="T988" s="146"/>
      <c r="U988" s="146"/>
      <c r="V988" s="146"/>
      <c r="W988" s="146"/>
      <c r="X988" s="146"/>
      <c r="Y988" s="146"/>
      <c r="Z988" s="146"/>
      <c r="AA988" s="146"/>
    </row>
    <row r="989" spans="1:27" ht="15.75" customHeight="1" x14ac:dyDescent="0.25">
      <c r="A989" s="146"/>
      <c r="B989" s="146"/>
      <c r="C989" s="146"/>
      <c r="D989" s="146"/>
      <c r="E989" s="146"/>
      <c r="F989" s="146"/>
      <c r="G989" s="146"/>
      <c r="H989" s="146"/>
      <c r="I989" s="146"/>
      <c r="J989" s="146"/>
      <c r="K989" s="146"/>
      <c r="L989" s="146"/>
      <c r="M989" s="146"/>
      <c r="N989" s="146"/>
      <c r="O989" s="146"/>
      <c r="P989" s="146"/>
      <c r="Q989" s="146"/>
      <c r="R989" s="146"/>
      <c r="S989" s="146"/>
      <c r="T989" s="146"/>
      <c r="U989" s="146"/>
      <c r="V989" s="146"/>
      <c r="W989" s="146"/>
      <c r="X989" s="146"/>
      <c r="Y989" s="146"/>
      <c r="Z989" s="146"/>
      <c r="AA989" s="146"/>
    </row>
    <row r="990" spans="1:27" ht="15.75" customHeight="1" x14ac:dyDescent="0.25">
      <c r="A990" s="146"/>
      <c r="B990" s="146"/>
      <c r="C990" s="146"/>
      <c r="D990" s="146"/>
      <c r="E990" s="146"/>
      <c r="F990" s="146"/>
      <c r="G990" s="146"/>
      <c r="H990" s="146"/>
      <c r="I990" s="146"/>
      <c r="J990" s="146"/>
      <c r="K990" s="146"/>
      <c r="L990" s="146"/>
      <c r="M990" s="146"/>
      <c r="N990" s="146"/>
      <c r="O990" s="146"/>
      <c r="P990" s="146"/>
      <c r="Q990" s="146"/>
      <c r="R990" s="146"/>
      <c r="S990" s="146"/>
      <c r="T990" s="146"/>
      <c r="U990" s="146"/>
      <c r="V990" s="146"/>
      <c r="W990" s="146"/>
      <c r="X990" s="146"/>
      <c r="Y990" s="146"/>
      <c r="Z990" s="146"/>
      <c r="AA990" s="146"/>
    </row>
    <row r="991" spans="1:27" ht="15.75" customHeight="1" x14ac:dyDescent="0.25">
      <c r="A991" s="146"/>
      <c r="B991" s="146"/>
      <c r="C991" s="146"/>
      <c r="D991" s="146"/>
      <c r="E991" s="146"/>
      <c r="F991" s="146"/>
      <c r="G991" s="146"/>
      <c r="H991" s="146"/>
      <c r="I991" s="146"/>
      <c r="J991" s="146"/>
      <c r="K991" s="146"/>
      <c r="L991" s="146"/>
      <c r="M991" s="146"/>
      <c r="N991" s="146"/>
      <c r="O991" s="146"/>
      <c r="P991" s="146"/>
      <c r="Q991" s="146"/>
      <c r="R991" s="146"/>
      <c r="S991" s="146"/>
      <c r="T991" s="146"/>
      <c r="U991" s="146"/>
      <c r="V991" s="146"/>
      <c r="W991" s="146"/>
      <c r="X991" s="146"/>
      <c r="Y991" s="146"/>
      <c r="Z991" s="146"/>
      <c r="AA991" s="146"/>
    </row>
    <row r="992" spans="1:27" ht="15.75" customHeight="1" x14ac:dyDescent="0.25">
      <c r="A992" s="146"/>
      <c r="B992" s="146"/>
      <c r="C992" s="146"/>
      <c r="D992" s="146"/>
      <c r="E992" s="146"/>
      <c r="F992" s="146"/>
      <c r="G992" s="146"/>
      <c r="H992" s="146"/>
      <c r="I992" s="146"/>
      <c r="J992" s="146"/>
      <c r="K992" s="146"/>
      <c r="L992" s="146"/>
      <c r="M992" s="146"/>
      <c r="N992" s="146"/>
      <c r="O992" s="146"/>
      <c r="P992" s="146"/>
      <c r="Q992" s="146"/>
      <c r="R992" s="146"/>
      <c r="S992" s="146"/>
      <c r="T992" s="146"/>
      <c r="U992" s="146"/>
      <c r="V992" s="146"/>
      <c r="W992" s="146"/>
      <c r="X992" s="146"/>
      <c r="Y992" s="146"/>
      <c r="Z992" s="146"/>
      <c r="AA992" s="146"/>
    </row>
    <row r="993" spans="1:27" ht="15.75" customHeight="1" x14ac:dyDescent="0.25">
      <c r="A993" s="146"/>
      <c r="B993" s="146"/>
      <c r="C993" s="146"/>
      <c r="D993" s="146"/>
      <c r="E993" s="146"/>
      <c r="F993" s="146"/>
      <c r="G993" s="146"/>
      <c r="H993" s="146"/>
      <c r="I993" s="146"/>
      <c r="J993" s="146"/>
      <c r="K993" s="146"/>
      <c r="L993" s="146"/>
      <c r="M993" s="146"/>
      <c r="N993" s="146"/>
      <c r="O993" s="146"/>
      <c r="P993" s="146"/>
      <c r="Q993" s="146"/>
      <c r="R993" s="146"/>
      <c r="S993" s="146"/>
      <c r="T993" s="146"/>
      <c r="U993" s="146"/>
      <c r="V993" s="146"/>
      <c r="W993" s="146"/>
      <c r="X993" s="146"/>
      <c r="Y993" s="146"/>
      <c r="Z993" s="146"/>
      <c r="AA993" s="146"/>
    </row>
    <row r="994" spans="1:27" ht="15.75" customHeight="1" x14ac:dyDescent="0.25">
      <c r="A994" s="146"/>
      <c r="B994" s="146"/>
      <c r="C994" s="146"/>
      <c r="D994" s="146"/>
      <c r="E994" s="146"/>
      <c r="F994" s="146"/>
      <c r="G994" s="146"/>
      <c r="H994" s="146"/>
      <c r="I994" s="146"/>
      <c r="J994" s="146"/>
      <c r="K994" s="146"/>
      <c r="L994" s="146"/>
      <c r="M994" s="146"/>
      <c r="N994" s="146"/>
      <c r="O994" s="146"/>
      <c r="P994" s="146"/>
      <c r="Q994" s="146"/>
      <c r="R994" s="146"/>
      <c r="S994" s="146"/>
      <c r="T994" s="146"/>
      <c r="U994" s="146"/>
      <c r="V994" s="146"/>
      <c r="W994" s="146"/>
      <c r="X994" s="146"/>
      <c r="Y994" s="146"/>
      <c r="Z994" s="146"/>
      <c r="AA994" s="146"/>
    </row>
    <row r="995" spans="1:27" ht="15.75" customHeight="1" x14ac:dyDescent="0.25">
      <c r="A995" s="146"/>
      <c r="B995" s="146"/>
      <c r="C995" s="146"/>
      <c r="D995" s="146"/>
      <c r="E995" s="146"/>
      <c r="F995" s="146"/>
      <c r="G995" s="146"/>
      <c r="H995" s="146"/>
      <c r="I995" s="146"/>
      <c r="J995" s="146"/>
      <c r="K995" s="146"/>
      <c r="L995" s="146"/>
      <c r="M995" s="146"/>
      <c r="N995" s="146"/>
      <c r="O995" s="146"/>
      <c r="P995" s="146"/>
      <c r="Q995" s="146"/>
      <c r="R995" s="146"/>
      <c r="S995" s="146"/>
      <c r="T995" s="146"/>
      <c r="U995" s="146"/>
      <c r="V995" s="146"/>
      <c r="W995" s="146"/>
      <c r="X995" s="146"/>
      <c r="Y995" s="146"/>
      <c r="Z995" s="146"/>
      <c r="AA995" s="146"/>
    </row>
    <row r="996" spans="1:27" ht="15.75" customHeight="1" x14ac:dyDescent="0.25">
      <c r="A996" s="146"/>
      <c r="B996" s="146"/>
      <c r="C996" s="146"/>
      <c r="D996" s="146"/>
      <c r="E996" s="146"/>
      <c r="F996" s="146"/>
      <c r="G996" s="146"/>
      <c r="H996" s="146"/>
      <c r="I996" s="146"/>
      <c r="J996" s="146"/>
      <c r="K996" s="146"/>
      <c r="L996" s="146"/>
      <c r="M996" s="146"/>
      <c r="N996" s="146"/>
      <c r="O996" s="146"/>
      <c r="P996" s="146"/>
      <c r="Q996" s="146"/>
      <c r="R996" s="146"/>
      <c r="S996" s="146"/>
      <c r="T996" s="146"/>
      <c r="U996" s="146"/>
      <c r="V996" s="146"/>
      <c r="W996" s="146"/>
      <c r="X996" s="146"/>
      <c r="Y996" s="146"/>
      <c r="Z996" s="146"/>
      <c r="AA996" s="146"/>
    </row>
    <row r="997" spans="1:27" ht="15.75" customHeight="1" x14ac:dyDescent="0.25">
      <c r="A997" s="146"/>
      <c r="B997" s="146"/>
      <c r="C997" s="146"/>
      <c r="D997" s="146"/>
      <c r="E997" s="146"/>
      <c r="F997" s="146"/>
      <c r="G997" s="146"/>
      <c r="H997" s="146"/>
      <c r="I997" s="146"/>
      <c r="J997" s="146"/>
      <c r="K997" s="146"/>
      <c r="L997" s="146"/>
      <c r="M997" s="146"/>
      <c r="N997" s="146"/>
      <c r="O997" s="146"/>
      <c r="P997" s="146"/>
      <c r="Q997" s="146"/>
      <c r="R997" s="146"/>
      <c r="S997" s="146"/>
      <c r="T997" s="146"/>
      <c r="U997" s="146"/>
      <c r="V997" s="146"/>
      <c r="W997" s="146"/>
      <c r="X997" s="146"/>
      <c r="Y997" s="146"/>
      <c r="Z997" s="146"/>
      <c r="AA997" s="146"/>
    </row>
    <row r="998" spans="1:27" ht="15.75" customHeight="1" x14ac:dyDescent="0.25">
      <c r="A998" s="146"/>
      <c r="B998" s="146"/>
      <c r="C998" s="146"/>
      <c r="D998" s="146"/>
      <c r="E998" s="146"/>
      <c r="F998" s="146"/>
      <c r="G998" s="146"/>
      <c r="H998" s="146"/>
      <c r="I998" s="146"/>
      <c r="J998" s="146"/>
      <c r="K998" s="146"/>
      <c r="L998" s="146"/>
      <c r="M998" s="146"/>
      <c r="N998" s="146"/>
      <c r="O998" s="146"/>
      <c r="P998" s="146"/>
      <c r="Q998" s="146"/>
      <c r="R998" s="146"/>
      <c r="S998" s="146"/>
      <c r="T998" s="146"/>
      <c r="U998" s="146"/>
      <c r="V998" s="146"/>
      <c r="W998" s="146"/>
      <c r="X998" s="146"/>
      <c r="Y998" s="146"/>
      <c r="Z998" s="146"/>
      <c r="AA998" s="146"/>
    </row>
    <row r="999" spans="1:27" ht="15.75" customHeight="1" x14ac:dyDescent="0.25">
      <c r="A999" s="146"/>
      <c r="B999" s="146"/>
      <c r="C999" s="146"/>
      <c r="D999" s="146"/>
      <c r="E999" s="146"/>
      <c r="F999" s="146"/>
      <c r="G999" s="146"/>
      <c r="H999" s="146"/>
      <c r="I999" s="146"/>
      <c r="J999" s="146"/>
      <c r="K999" s="146"/>
      <c r="L999" s="146"/>
      <c r="M999" s="146"/>
      <c r="N999" s="146"/>
      <c r="O999" s="146"/>
      <c r="P999" s="146"/>
      <c r="Q999" s="146"/>
      <c r="R999" s="146"/>
      <c r="S999" s="146"/>
      <c r="T999" s="146"/>
      <c r="U999" s="146"/>
      <c r="V999" s="146"/>
      <c r="W999" s="146"/>
      <c r="X999" s="146"/>
      <c r="Y999" s="146"/>
      <c r="Z999" s="146"/>
      <c r="AA999" s="146"/>
    </row>
    <row r="1000" spans="1:27" ht="15.75" customHeight="1" x14ac:dyDescent="0.25">
      <c r="A1000" s="146"/>
      <c r="B1000" s="146"/>
      <c r="C1000" s="146"/>
      <c r="D1000" s="146"/>
      <c r="E1000" s="146"/>
      <c r="F1000" s="146"/>
      <c r="G1000" s="146"/>
      <c r="H1000" s="146"/>
      <c r="I1000" s="146"/>
      <c r="J1000" s="146"/>
      <c r="K1000" s="146"/>
      <c r="L1000" s="146"/>
      <c r="M1000" s="146"/>
      <c r="N1000" s="146"/>
      <c r="O1000" s="146"/>
      <c r="P1000" s="146"/>
      <c r="Q1000" s="146"/>
      <c r="R1000" s="146"/>
      <c r="S1000" s="146"/>
      <c r="T1000" s="146"/>
      <c r="U1000" s="146"/>
      <c r="V1000" s="146"/>
      <c r="W1000" s="146"/>
      <c r="X1000" s="146"/>
      <c r="Y1000" s="146"/>
      <c r="Z1000" s="146"/>
      <c r="AA1000" s="146"/>
    </row>
    <row r="1001" spans="1:27" ht="15.75" customHeight="1" x14ac:dyDescent="0.25">
      <c r="A1001" s="146"/>
      <c r="B1001" s="146"/>
      <c r="C1001" s="146"/>
      <c r="D1001" s="146"/>
      <c r="E1001" s="146"/>
      <c r="F1001" s="146"/>
      <c r="G1001" s="146"/>
      <c r="H1001" s="146"/>
      <c r="I1001" s="146"/>
      <c r="J1001" s="146"/>
      <c r="K1001" s="146"/>
      <c r="L1001" s="146"/>
      <c r="M1001" s="146"/>
      <c r="N1001" s="146"/>
      <c r="O1001" s="146"/>
      <c r="P1001" s="146"/>
      <c r="Q1001" s="146"/>
      <c r="R1001" s="146"/>
      <c r="S1001" s="146"/>
      <c r="T1001" s="146"/>
      <c r="U1001" s="146"/>
      <c r="V1001" s="146"/>
      <c r="W1001" s="146"/>
      <c r="X1001" s="146"/>
      <c r="Y1001" s="146"/>
      <c r="Z1001" s="146"/>
      <c r="AA1001" s="146"/>
    </row>
    <row r="1002" spans="1:27" ht="15.75" customHeight="1" x14ac:dyDescent="0.25">
      <c r="A1002" s="146"/>
      <c r="B1002" s="146"/>
      <c r="C1002" s="146"/>
      <c r="D1002" s="146"/>
      <c r="E1002" s="146"/>
      <c r="F1002" s="146"/>
      <c r="G1002" s="146"/>
      <c r="H1002" s="146"/>
      <c r="I1002" s="146"/>
      <c r="J1002" s="146"/>
      <c r="K1002" s="146"/>
      <c r="L1002" s="146"/>
      <c r="M1002" s="146"/>
      <c r="N1002" s="146"/>
      <c r="O1002" s="146"/>
      <c r="P1002" s="146"/>
      <c r="Q1002" s="146"/>
      <c r="R1002" s="146"/>
      <c r="S1002" s="146"/>
      <c r="T1002" s="146"/>
      <c r="U1002" s="146"/>
      <c r="V1002" s="146"/>
      <c r="W1002" s="146"/>
      <c r="X1002" s="146"/>
      <c r="Y1002" s="146"/>
      <c r="Z1002" s="146"/>
      <c r="AA1002" s="146"/>
    </row>
    <row r="1003" spans="1:27" ht="15.75" customHeight="1" x14ac:dyDescent="0.25">
      <c r="A1003" s="146"/>
      <c r="B1003" s="146"/>
      <c r="C1003" s="146"/>
      <c r="D1003" s="146"/>
      <c r="E1003" s="146"/>
      <c r="F1003" s="146"/>
      <c r="G1003" s="146"/>
      <c r="H1003" s="146"/>
      <c r="I1003" s="146"/>
      <c r="J1003" s="146"/>
      <c r="K1003" s="146"/>
      <c r="L1003" s="146"/>
      <c r="M1003" s="146"/>
      <c r="N1003" s="146"/>
      <c r="O1003" s="146"/>
      <c r="P1003" s="146"/>
      <c r="Q1003" s="146"/>
      <c r="R1003" s="146"/>
      <c r="S1003" s="146"/>
      <c r="T1003" s="146"/>
      <c r="U1003" s="146"/>
      <c r="V1003" s="146"/>
      <c r="W1003" s="146"/>
      <c r="X1003" s="146"/>
      <c r="Y1003" s="146"/>
      <c r="Z1003" s="146"/>
      <c r="AA1003" s="146"/>
    </row>
    <row r="1004" spans="1:27" ht="15.75" customHeight="1" x14ac:dyDescent="0.25">
      <c r="A1004" s="146"/>
      <c r="B1004" s="146"/>
      <c r="C1004" s="146"/>
      <c r="D1004" s="146"/>
      <c r="E1004" s="146"/>
      <c r="F1004" s="146"/>
      <c r="G1004" s="146"/>
      <c r="H1004" s="146"/>
      <c r="I1004" s="146"/>
      <c r="J1004" s="146"/>
      <c r="K1004" s="146"/>
      <c r="L1004" s="146"/>
      <c r="M1004" s="146"/>
      <c r="N1004" s="146"/>
      <c r="O1004" s="146"/>
      <c r="P1004" s="146"/>
      <c r="Q1004" s="146"/>
      <c r="R1004" s="146"/>
      <c r="S1004" s="146"/>
      <c r="T1004" s="146"/>
      <c r="U1004" s="146"/>
      <c r="V1004" s="146"/>
      <c r="W1004" s="146"/>
      <c r="X1004" s="146"/>
      <c r="Y1004" s="146"/>
      <c r="Z1004" s="146"/>
      <c r="AA1004" s="146"/>
    </row>
    <row r="1005" spans="1:27" ht="15.75" customHeight="1" x14ac:dyDescent="0.25">
      <c r="A1005" s="146"/>
      <c r="B1005" s="146"/>
      <c r="C1005" s="146"/>
      <c r="D1005" s="146"/>
      <c r="E1005" s="146"/>
      <c r="F1005" s="146"/>
      <c r="G1005" s="146"/>
      <c r="H1005" s="146"/>
      <c r="I1005" s="146"/>
      <c r="J1005" s="146"/>
      <c r="K1005" s="146"/>
      <c r="L1005" s="146"/>
      <c r="M1005" s="146"/>
      <c r="N1005" s="146"/>
      <c r="O1005" s="146"/>
      <c r="P1005" s="146"/>
      <c r="Q1005" s="146"/>
      <c r="R1005" s="146"/>
      <c r="S1005" s="146"/>
      <c r="T1005" s="146"/>
      <c r="U1005" s="146"/>
      <c r="V1005" s="146"/>
      <c r="W1005" s="146"/>
      <c r="X1005" s="146"/>
      <c r="Y1005" s="146"/>
      <c r="Z1005" s="146"/>
      <c r="AA1005" s="146"/>
    </row>
    <row r="1006" spans="1:27" ht="15.75" customHeight="1" x14ac:dyDescent="0.25">
      <c r="A1006" s="146"/>
      <c r="B1006" s="146"/>
      <c r="C1006" s="146"/>
      <c r="D1006" s="146"/>
      <c r="E1006" s="146"/>
      <c r="F1006" s="146"/>
      <c r="G1006" s="146"/>
      <c r="H1006" s="146"/>
      <c r="I1006" s="146"/>
      <c r="J1006" s="146"/>
      <c r="K1006" s="146"/>
      <c r="L1006" s="146"/>
      <c r="M1006" s="146"/>
      <c r="N1006" s="146"/>
      <c r="O1006" s="146"/>
      <c r="P1006" s="146"/>
      <c r="Q1006" s="146"/>
      <c r="R1006" s="146"/>
      <c r="S1006" s="146"/>
      <c r="T1006" s="146"/>
      <c r="U1006" s="146"/>
      <c r="V1006" s="146"/>
      <c r="W1006" s="146"/>
      <c r="X1006" s="146"/>
      <c r="Y1006" s="146"/>
      <c r="Z1006" s="146"/>
      <c r="AA1006" s="146"/>
    </row>
    <row r="1007" spans="1:27" ht="15.75" customHeight="1" x14ac:dyDescent="0.25">
      <c r="A1007" s="146"/>
      <c r="B1007" s="146"/>
      <c r="C1007" s="146"/>
      <c r="D1007" s="146"/>
      <c r="E1007" s="146"/>
      <c r="F1007" s="146"/>
      <c r="G1007" s="146"/>
      <c r="H1007" s="146"/>
      <c r="I1007" s="146"/>
      <c r="J1007" s="146"/>
      <c r="K1007" s="146"/>
      <c r="L1007" s="146"/>
      <c r="M1007" s="146"/>
      <c r="N1007" s="146"/>
      <c r="O1007" s="146"/>
      <c r="P1007" s="146"/>
      <c r="Q1007" s="146"/>
      <c r="R1007" s="146"/>
      <c r="S1007" s="146"/>
      <c r="T1007" s="146"/>
      <c r="U1007" s="146"/>
      <c r="V1007" s="146"/>
      <c r="W1007" s="146"/>
      <c r="X1007" s="146"/>
      <c r="Y1007" s="146"/>
      <c r="Z1007" s="146"/>
      <c r="AA1007" s="146"/>
    </row>
  </sheetData>
  <mergeCells count="47">
    <mergeCell ref="C55:D55"/>
    <mergeCell ref="B56:D56"/>
    <mergeCell ref="B12:C13"/>
    <mergeCell ref="C53:D53"/>
    <mergeCell ref="C54:D54"/>
    <mergeCell ref="C29:D29"/>
    <mergeCell ref="C42:D42"/>
    <mergeCell ref="C50:D50"/>
    <mergeCell ref="C45:D45"/>
    <mergeCell ref="C46:D46"/>
    <mergeCell ref="C47:D47"/>
    <mergeCell ref="C48:D48"/>
    <mergeCell ref="C49:D49"/>
    <mergeCell ref="C37:D37"/>
    <mergeCell ref="C38:D38"/>
    <mergeCell ref="C39:D39"/>
    <mergeCell ref="C20:D20"/>
    <mergeCell ref="C21:D21"/>
    <mergeCell ref="C22:D22"/>
    <mergeCell ref="C23:D23"/>
    <mergeCell ref="B2:F6"/>
    <mergeCell ref="C16:D17"/>
    <mergeCell ref="B15:F15"/>
    <mergeCell ref="B16:B17"/>
    <mergeCell ref="E16:F16"/>
    <mergeCell ref="B19:F19"/>
    <mergeCell ref="B31:F31"/>
    <mergeCell ref="B71:F71"/>
    <mergeCell ref="B72:F72"/>
    <mergeCell ref="B44:F44"/>
    <mergeCell ref="B52:F52"/>
    <mergeCell ref="C59:G59"/>
    <mergeCell ref="C62:G62"/>
    <mergeCell ref="C63:G63"/>
    <mergeCell ref="B66:F70"/>
    <mergeCell ref="C40:D40"/>
    <mergeCell ref="C41:D41"/>
    <mergeCell ref="C32:D32"/>
    <mergeCell ref="C33:D33"/>
    <mergeCell ref="C34:D34"/>
    <mergeCell ref="C35:D35"/>
    <mergeCell ref="C36:D36"/>
    <mergeCell ref="C24:D24"/>
    <mergeCell ref="C25:D25"/>
    <mergeCell ref="C26:D26"/>
    <mergeCell ref="C27:D27"/>
    <mergeCell ref="C28:D28"/>
  </mergeCells>
  <printOptions horizontalCentered="1"/>
  <pageMargins left="0.7" right="0.7" top="0.75" bottom="0.75" header="0.3" footer="0.3"/>
  <pageSetup paperSize="9" scale="36" fitToHeight="0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B37440-499B-401D-BC57-2FD08E69272F}">
  <sheetPr>
    <pageSetUpPr fitToPage="1"/>
  </sheetPr>
  <dimension ref="A1:AD172"/>
  <sheetViews>
    <sheetView workbookViewId="0"/>
  </sheetViews>
  <sheetFormatPr defaultColWidth="12.59765625" defaultRowHeight="15" customHeight="1" x14ac:dyDescent="0.25"/>
  <cols>
    <col min="1" max="1" width="2.09765625" style="221" customWidth="1"/>
    <col min="2" max="2" width="10.19921875" style="221" customWidth="1"/>
    <col min="3" max="3" width="24.3984375" style="221" customWidth="1"/>
    <col min="4" max="7" width="25.19921875" style="221" customWidth="1"/>
    <col min="8" max="8" width="32.59765625" style="221" customWidth="1"/>
    <col min="9" max="9" width="21.796875" style="221" customWidth="1"/>
    <col min="10" max="28" width="8.19921875" style="221" customWidth="1"/>
    <col min="29" max="29" width="13" style="221" customWidth="1"/>
    <col min="30" max="16384" width="12.59765625" style="221"/>
  </cols>
  <sheetData>
    <row r="1" spans="1:30" ht="13.8" x14ac:dyDescent="0.25">
      <c r="A1" s="219"/>
      <c r="B1" s="219"/>
      <c r="C1" s="220"/>
      <c r="D1" s="220"/>
      <c r="E1" s="220"/>
      <c r="F1" s="220"/>
      <c r="G1" s="220"/>
      <c r="H1" s="220"/>
      <c r="I1" s="219"/>
      <c r="J1" s="219"/>
      <c r="K1" s="219"/>
      <c r="L1" s="219"/>
      <c r="M1" s="219"/>
      <c r="N1" s="219"/>
      <c r="O1" s="219"/>
      <c r="P1" s="219"/>
      <c r="Q1" s="219"/>
      <c r="R1" s="219"/>
      <c r="S1" s="219"/>
      <c r="T1" s="219"/>
      <c r="U1" s="219"/>
      <c r="V1" s="219"/>
      <c r="W1" s="219"/>
      <c r="X1" s="219"/>
      <c r="Y1" s="219"/>
      <c r="Z1" s="219"/>
      <c r="AA1" s="219"/>
      <c r="AB1" s="219"/>
      <c r="AC1" s="219"/>
    </row>
    <row r="2" spans="1:30" ht="18.75" customHeight="1" x14ac:dyDescent="0.25">
      <c r="A2" s="222"/>
      <c r="B2" s="439" t="s">
        <v>893</v>
      </c>
      <c r="C2" s="440"/>
      <c r="D2" s="440"/>
      <c r="E2" s="440"/>
      <c r="F2" s="441"/>
      <c r="G2" s="441"/>
      <c r="H2" s="441"/>
      <c r="I2" s="442"/>
      <c r="J2" s="222"/>
      <c r="K2" s="223"/>
      <c r="L2" s="223"/>
      <c r="M2" s="222"/>
      <c r="N2" s="222"/>
      <c r="O2" s="222"/>
      <c r="P2" s="222"/>
      <c r="Q2" s="222"/>
      <c r="R2" s="222"/>
      <c r="S2" s="222"/>
      <c r="T2" s="222"/>
      <c r="U2" s="222"/>
      <c r="V2" s="222"/>
      <c r="W2" s="222"/>
      <c r="X2" s="222"/>
      <c r="Y2" s="222"/>
      <c r="Z2" s="224"/>
      <c r="AA2" s="224"/>
      <c r="AB2" s="224"/>
      <c r="AC2" s="224"/>
      <c r="AD2" s="219"/>
    </row>
    <row r="3" spans="1:30" ht="18.75" customHeight="1" x14ac:dyDescent="0.25">
      <c r="A3" s="222"/>
      <c r="B3" s="443"/>
      <c r="C3" s="444"/>
      <c r="D3" s="444"/>
      <c r="E3" s="444"/>
      <c r="F3" s="445"/>
      <c r="G3" s="445"/>
      <c r="H3" s="445"/>
      <c r="I3" s="446"/>
      <c r="J3" s="222"/>
      <c r="K3" s="223"/>
      <c r="L3" s="223"/>
      <c r="M3" s="222"/>
      <c r="N3" s="222"/>
      <c r="O3" s="222"/>
      <c r="P3" s="222"/>
      <c r="Q3" s="222"/>
      <c r="R3" s="222"/>
      <c r="S3" s="222"/>
      <c r="T3" s="222"/>
      <c r="U3" s="222"/>
      <c r="V3" s="222"/>
      <c r="W3" s="222"/>
      <c r="X3" s="222"/>
      <c r="Y3" s="222"/>
      <c r="Z3" s="224"/>
      <c r="AA3" s="224"/>
      <c r="AB3" s="224"/>
      <c r="AC3" s="224"/>
      <c r="AD3" s="219"/>
    </row>
    <row r="4" spans="1:30" ht="18.75" customHeight="1" x14ac:dyDescent="0.25">
      <c r="A4" s="222"/>
      <c r="B4" s="443"/>
      <c r="C4" s="444"/>
      <c r="D4" s="444"/>
      <c r="E4" s="444"/>
      <c r="F4" s="445"/>
      <c r="G4" s="445"/>
      <c r="H4" s="445"/>
      <c r="I4" s="446"/>
      <c r="J4" s="222"/>
      <c r="K4" s="223"/>
      <c r="L4" s="223"/>
      <c r="M4" s="222"/>
      <c r="N4" s="222"/>
      <c r="O4" s="222"/>
      <c r="P4" s="222"/>
      <c r="Q4" s="222"/>
      <c r="R4" s="222"/>
      <c r="S4" s="222"/>
      <c r="T4" s="222"/>
      <c r="U4" s="222"/>
      <c r="V4" s="222"/>
      <c r="W4" s="222"/>
      <c r="X4" s="222"/>
      <c r="Y4" s="222"/>
      <c r="Z4" s="224"/>
      <c r="AA4" s="224"/>
      <c r="AB4" s="224"/>
      <c r="AC4" s="224"/>
      <c r="AD4" s="219"/>
    </row>
    <row r="5" spans="1:30" ht="18.75" customHeight="1" x14ac:dyDescent="0.25">
      <c r="A5" s="222"/>
      <c r="B5" s="443"/>
      <c r="C5" s="444"/>
      <c r="D5" s="444"/>
      <c r="E5" s="444"/>
      <c r="F5" s="445"/>
      <c r="G5" s="445"/>
      <c r="H5" s="445"/>
      <c r="I5" s="446"/>
      <c r="J5" s="222"/>
      <c r="K5" s="223"/>
      <c r="L5" s="223"/>
      <c r="M5" s="222"/>
      <c r="N5" s="222"/>
      <c r="O5" s="222"/>
      <c r="P5" s="222"/>
      <c r="Q5" s="222"/>
      <c r="R5" s="222"/>
      <c r="S5" s="222"/>
      <c r="T5" s="222"/>
      <c r="U5" s="222"/>
      <c r="V5" s="222"/>
      <c r="W5" s="222"/>
      <c r="X5" s="222"/>
      <c r="Y5" s="222"/>
      <c r="Z5" s="224"/>
      <c r="AA5" s="224"/>
      <c r="AB5" s="224"/>
      <c r="AC5" s="224"/>
      <c r="AD5" s="219"/>
    </row>
    <row r="6" spans="1:30" ht="18.75" customHeight="1" x14ac:dyDescent="0.25">
      <c r="A6" s="222"/>
      <c r="B6" s="447"/>
      <c r="C6" s="448"/>
      <c r="D6" s="448"/>
      <c r="E6" s="448"/>
      <c r="F6" s="448"/>
      <c r="G6" s="448"/>
      <c r="H6" s="448"/>
      <c r="I6" s="449"/>
      <c r="J6" s="222"/>
      <c r="K6" s="223"/>
      <c r="L6" s="223"/>
      <c r="M6" s="222"/>
      <c r="N6" s="222"/>
      <c r="O6" s="222"/>
      <c r="P6" s="222"/>
      <c r="Q6" s="222"/>
      <c r="R6" s="222"/>
      <c r="S6" s="222"/>
      <c r="T6" s="222"/>
      <c r="U6" s="222"/>
      <c r="V6" s="222"/>
      <c r="W6" s="222"/>
      <c r="X6" s="222"/>
      <c r="Y6" s="222"/>
      <c r="Z6" s="224"/>
      <c r="AA6" s="224"/>
      <c r="AB6" s="224"/>
      <c r="AC6" s="224"/>
      <c r="AD6" s="219"/>
    </row>
    <row r="7" spans="1:30" ht="15" customHeight="1" x14ac:dyDescent="0.25">
      <c r="A7" s="225"/>
      <c r="B7" s="226"/>
      <c r="C7" s="226"/>
      <c r="D7" s="226"/>
      <c r="E7" s="226"/>
      <c r="F7" s="226"/>
      <c r="G7" s="226"/>
      <c r="H7" s="226"/>
      <c r="I7" s="226"/>
      <c r="J7" s="225"/>
      <c r="K7" s="227"/>
      <c r="L7" s="227"/>
      <c r="M7" s="225"/>
      <c r="N7" s="225"/>
      <c r="O7" s="225"/>
      <c r="P7" s="225"/>
      <c r="Q7" s="225"/>
      <c r="R7" s="225"/>
      <c r="S7" s="225"/>
      <c r="T7" s="225"/>
      <c r="U7" s="225"/>
      <c r="V7" s="225"/>
      <c r="W7" s="225"/>
      <c r="X7" s="225"/>
      <c r="Y7" s="225"/>
      <c r="Z7" s="225"/>
      <c r="AA7" s="225"/>
      <c r="AB7" s="225"/>
      <c r="AC7" s="225"/>
      <c r="AD7" s="219"/>
    </row>
    <row r="8" spans="1:30" ht="15" customHeight="1" x14ac:dyDescent="0.25">
      <c r="A8" s="225"/>
      <c r="B8" s="228" t="str">
        <f>'DADOS GERAIS'!B8</f>
        <v>Secretaria de Atenção Especializada à Saúde</v>
      </c>
      <c r="C8" s="229"/>
      <c r="D8" s="229"/>
      <c r="E8" s="229"/>
      <c r="F8" s="230"/>
      <c r="G8" s="6" t="str">
        <f>RESUMO!D8</f>
        <v>BDI Geral:</v>
      </c>
      <c r="H8" s="229" t="s">
        <v>17</v>
      </c>
      <c r="I8" s="251" t="s">
        <v>10</v>
      </c>
      <c r="J8" s="225"/>
      <c r="K8" s="227"/>
      <c r="L8" s="227"/>
      <c r="M8" s="225"/>
      <c r="N8" s="225"/>
      <c r="O8" s="225"/>
      <c r="P8" s="225"/>
      <c r="Q8" s="225"/>
      <c r="R8" s="225"/>
      <c r="S8" s="225"/>
      <c r="T8" s="225"/>
      <c r="U8" s="225"/>
      <c r="V8" s="225"/>
      <c r="W8" s="225"/>
      <c r="X8" s="225"/>
      <c r="Y8" s="225"/>
      <c r="Z8" s="225"/>
      <c r="AA8" s="225"/>
      <c r="AB8" s="225"/>
      <c r="AC8" s="225"/>
      <c r="AD8" s="219"/>
    </row>
    <row r="9" spans="1:30" ht="15" customHeight="1" x14ac:dyDescent="0.25">
      <c r="A9" s="225"/>
      <c r="B9" s="231" t="str">
        <f>'DADOS GERAIS'!B9</f>
        <v>Unidade Básica de Saúde Porte 2 - Área Construída: 500,17m²</v>
      </c>
      <c r="C9" s="232"/>
      <c r="D9" s="232"/>
      <c r="E9" s="232"/>
      <c r="F9" s="233"/>
      <c r="G9" s="109">
        <f>RESUMO!D9</f>
        <v>0.26869999999999999</v>
      </c>
      <c r="H9" s="234">
        <f>'ENCARGOS SOCIAIS'!F56</f>
        <v>0.47739999999999999</v>
      </c>
      <c r="I9" s="235" t="str">
        <f>'DADOS GERAIS'!C22</f>
        <v>02/2025</v>
      </c>
      <c r="J9" s="225"/>
      <c r="K9" s="227"/>
      <c r="L9" s="227"/>
      <c r="M9" s="225"/>
      <c r="N9" s="225"/>
      <c r="O9" s="225"/>
      <c r="P9" s="225"/>
      <c r="Q9" s="225"/>
      <c r="R9" s="225"/>
      <c r="S9" s="225"/>
      <c r="T9" s="225"/>
      <c r="U9" s="225"/>
      <c r="V9" s="225"/>
      <c r="W9" s="225"/>
      <c r="X9" s="225"/>
      <c r="Y9" s="225"/>
      <c r="Z9" s="225"/>
      <c r="AA9" s="225"/>
      <c r="AB9" s="225"/>
      <c r="AC9" s="225"/>
      <c r="AD9" s="219"/>
    </row>
    <row r="10" spans="1:30" ht="15" customHeight="1" x14ac:dyDescent="0.25">
      <c r="A10" s="225"/>
      <c r="B10" s="236"/>
      <c r="C10" s="224"/>
      <c r="D10" s="224"/>
      <c r="E10" s="224"/>
      <c r="F10" s="233"/>
      <c r="G10" s="9"/>
      <c r="H10" s="219"/>
      <c r="I10" s="252"/>
      <c r="J10" s="225"/>
      <c r="K10" s="227"/>
      <c r="L10" s="227"/>
      <c r="M10" s="225"/>
      <c r="N10" s="225"/>
      <c r="O10" s="225"/>
      <c r="P10" s="225"/>
      <c r="Q10" s="225"/>
      <c r="R10" s="225"/>
      <c r="S10" s="225"/>
      <c r="T10" s="225"/>
      <c r="U10" s="225"/>
      <c r="V10" s="225"/>
      <c r="W10" s="225"/>
      <c r="X10" s="225"/>
      <c r="Y10" s="225"/>
      <c r="Z10" s="225"/>
      <c r="AA10" s="225"/>
      <c r="AB10" s="225"/>
      <c r="AC10" s="225"/>
      <c r="AD10" s="219"/>
    </row>
    <row r="11" spans="1:30" ht="15" customHeight="1" x14ac:dyDescent="0.25">
      <c r="A11" s="225"/>
      <c r="B11" s="237" t="str">
        <f>'DADOS GERAIS'!B11</f>
        <v>Bancos:</v>
      </c>
      <c r="C11" s="238"/>
      <c r="D11" s="238"/>
      <c r="E11" s="238"/>
      <c r="F11" s="233"/>
      <c r="G11" s="9" t="str">
        <f>RESUMO!D11</f>
        <v>BDI Equipamentos:</v>
      </c>
      <c r="H11" s="238" t="s">
        <v>19</v>
      </c>
      <c r="I11" s="252" t="s">
        <v>11</v>
      </c>
      <c r="J11" s="225"/>
      <c r="K11" s="227"/>
      <c r="L11" s="227"/>
      <c r="M11" s="225"/>
      <c r="N11" s="225"/>
      <c r="O11" s="225"/>
      <c r="P11" s="225"/>
      <c r="Q11" s="225"/>
      <c r="R11" s="225"/>
      <c r="S11" s="225"/>
      <c r="T11" s="225"/>
      <c r="U11" s="225"/>
      <c r="V11" s="225"/>
      <c r="W11" s="225"/>
      <c r="X11" s="225"/>
      <c r="Y11" s="225"/>
      <c r="Z11" s="225"/>
      <c r="AA11" s="225"/>
      <c r="AB11" s="225"/>
      <c r="AC11" s="225"/>
      <c r="AD11" s="219"/>
    </row>
    <row r="12" spans="1:30" ht="15" customHeight="1" x14ac:dyDescent="0.25">
      <c r="A12" s="225"/>
      <c r="B12" s="450" t="str">
        <f>'DADOS GERAIS'!B12</f>
        <v>SINAPI (12/2024) - CPOS/CDHU (09/2024) - SBC (12/2024) - ORSE (12/2024) - IOPES (03/2024) - EMOP (12/2024) - SEINFRA 027 (DESONERADO)</v>
      </c>
      <c r="C12" s="451"/>
      <c r="D12" s="451"/>
      <c r="E12" s="451"/>
      <c r="F12" s="451"/>
      <c r="G12" s="109">
        <f>RESUMO!D12</f>
        <v>0.19070000000000001</v>
      </c>
      <c r="H12" s="234">
        <f>'ENCARGOS SOCIAIS'!E56</f>
        <v>0.85799999999999998</v>
      </c>
      <c r="I12" s="239" t="str">
        <f>'DADOS GERAIS'!C23</f>
        <v>01</v>
      </c>
      <c r="J12" s="225"/>
      <c r="K12" s="227"/>
      <c r="L12" s="227"/>
      <c r="M12" s="225"/>
      <c r="N12" s="225"/>
      <c r="O12" s="225"/>
      <c r="P12" s="225"/>
      <c r="Q12" s="225"/>
      <c r="R12" s="225"/>
      <c r="S12" s="225"/>
      <c r="T12" s="225"/>
      <c r="U12" s="225"/>
      <c r="V12" s="225"/>
      <c r="W12" s="225"/>
      <c r="X12" s="225"/>
      <c r="Y12" s="225"/>
      <c r="Z12" s="225"/>
      <c r="AA12" s="225"/>
      <c r="AB12" s="225"/>
      <c r="AC12" s="225"/>
      <c r="AD12" s="219"/>
    </row>
    <row r="13" spans="1:30" ht="15" customHeight="1" x14ac:dyDescent="0.25">
      <c r="A13" s="225"/>
      <c r="B13" s="452"/>
      <c r="C13" s="453"/>
      <c r="D13" s="453"/>
      <c r="E13" s="453"/>
      <c r="F13" s="453"/>
      <c r="G13" s="14"/>
      <c r="H13" s="240"/>
      <c r="I13" s="241"/>
      <c r="J13" s="225"/>
      <c r="K13" s="227"/>
      <c r="L13" s="227"/>
      <c r="M13" s="225"/>
      <c r="N13" s="225"/>
      <c r="O13" s="225"/>
      <c r="P13" s="225"/>
      <c r="Q13" s="225"/>
      <c r="R13" s="225"/>
      <c r="S13" s="225"/>
      <c r="T13" s="225"/>
      <c r="U13" s="225"/>
      <c r="V13" s="225"/>
      <c r="W13" s="225"/>
      <c r="X13" s="225"/>
      <c r="Y13" s="225"/>
      <c r="Z13" s="225"/>
      <c r="AA13" s="225"/>
      <c r="AB13" s="225"/>
      <c r="AC13" s="225"/>
      <c r="AD13" s="219"/>
    </row>
    <row r="14" spans="1:30" ht="8.25" customHeight="1" x14ac:dyDescent="0.25">
      <c r="A14" s="219"/>
      <c r="B14" s="242"/>
      <c r="C14" s="220"/>
      <c r="D14" s="220"/>
      <c r="E14" s="220"/>
      <c r="F14" s="220"/>
      <c r="G14" s="220"/>
      <c r="H14" s="220"/>
      <c r="I14" s="243"/>
      <c r="J14" s="244"/>
      <c r="K14" s="244"/>
      <c r="L14" s="244"/>
      <c r="M14" s="244"/>
      <c r="N14" s="244"/>
      <c r="O14" s="244"/>
      <c r="P14" s="244"/>
      <c r="Q14" s="244"/>
      <c r="R14" s="244"/>
      <c r="S14" s="244"/>
      <c r="T14" s="244"/>
      <c r="U14" s="244"/>
      <c r="V14" s="244"/>
      <c r="W14" s="244"/>
      <c r="X14" s="244"/>
      <c r="Y14" s="244"/>
      <c r="Z14" s="244"/>
      <c r="AA14" s="244"/>
      <c r="AB14" s="244"/>
      <c r="AC14" s="244"/>
    </row>
    <row r="15" spans="1:30" ht="26.4" x14ac:dyDescent="0.25">
      <c r="A15" s="219"/>
      <c r="B15" s="245" t="s">
        <v>20</v>
      </c>
      <c r="C15" s="246" t="s">
        <v>894</v>
      </c>
      <c r="D15" s="246" t="s">
        <v>895</v>
      </c>
      <c r="E15" s="454" t="s">
        <v>896</v>
      </c>
      <c r="F15" s="455"/>
      <c r="G15" s="455"/>
      <c r="H15" s="455"/>
      <c r="I15" s="456"/>
      <c r="J15" s="247"/>
      <c r="K15" s="247"/>
      <c r="L15" s="247"/>
      <c r="M15" s="247"/>
      <c r="N15" s="247"/>
      <c r="O15" s="247"/>
      <c r="P15" s="247"/>
      <c r="Q15" s="247"/>
      <c r="R15" s="247"/>
      <c r="S15" s="247"/>
      <c r="T15" s="247"/>
      <c r="U15" s="247"/>
      <c r="V15" s="247"/>
      <c r="W15" s="247"/>
      <c r="X15" s="247"/>
      <c r="Y15" s="247"/>
      <c r="Z15" s="247"/>
      <c r="AA15" s="247"/>
      <c r="AB15" s="247"/>
      <c r="AC15" s="248"/>
    </row>
    <row r="16" spans="1:30" ht="54" customHeight="1" x14ac:dyDescent="0.25">
      <c r="A16" s="219"/>
      <c r="B16" s="249">
        <v>1</v>
      </c>
      <c r="C16" s="250" t="s">
        <v>783</v>
      </c>
      <c r="D16" s="250" t="s">
        <v>897</v>
      </c>
      <c r="E16" s="436" t="s">
        <v>898</v>
      </c>
      <c r="F16" s="437"/>
      <c r="G16" s="437"/>
      <c r="H16" s="437"/>
      <c r="I16" s="438"/>
      <c r="J16" s="244"/>
      <c r="K16" s="244"/>
      <c r="L16" s="244"/>
      <c r="M16" s="244"/>
      <c r="N16" s="244"/>
      <c r="O16" s="244"/>
      <c r="P16" s="244"/>
      <c r="Q16" s="244"/>
      <c r="R16" s="244"/>
      <c r="S16" s="244"/>
      <c r="T16" s="244"/>
      <c r="U16" s="244"/>
      <c r="V16" s="244"/>
      <c r="W16" s="244"/>
      <c r="X16" s="244"/>
      <c r="Y16" s="244"/>
      <c r="Z16" s="244"/>
      <c r="AA16" s="244"/>
      <c r="AB16" s="244"/>
      <c r="AC16" s="244"/>
    </row>
    <row r="17" spans="1:29" ht="54" customHeight="1" x14ac:dyDescent="0.25">
      <c r="A17" s="219"/>
      <c r="B17" s="249">
        <v>2</v>
      </c>
      <c r="C17" s="250" t="s">
        <v>980</v>
      </c>
      <c r="D17" s="250" t="s">
        <v>1374</v>
      </c>
      <c r="E17" s="436" t="s">
        <v>901</v>
      </c>
      <c r="F17" s="437"/>
      <c r="G17" s="437"/>
      <c r="H17" s="437"/>
      <c r="I17" s="438"/>
      <c r="J17" s="244"/>
      <c r="K17" s="244"/>
      <c r="L17" s="244"/>
      <c r="M17" s="244"/>
      <c r="N17" s="244"/>
      <c r="O17" s="244"/>
      <c r="P17" s="244"/>
      <c r="Q17" s="244"/>
      <c r="R17" s="244"/>
      <c r="S17" s="244"/>
      <c r="T17" s="244"/>
      <c r="U17" s="244"/>
      <c r="V17" s="244"/>
      <c r="W17" s="244"/>
      <c r="X17" s="244"/>
      <c r="Y17" s="244"/>
      <c r="Z17" s="244"/>
      <c r="AA17" s="244"/>
      <c r="AB17" s="244"/>
      <c r="AC17" s="244"/>
    </row>
    <row r="18" spans="1:29" ht="54" customHeight="1" x14ac:dyDescent="0.25">
      <c r="A18" s="219"/>
      <c r="B18" s="249">
        <v>3</v>
      </c>
      <c r="C18" s="250" t="s">
        <v>1342</v>
      </c>
      <c r="D18" s="250" t="s">
        <v>1375</v>
      </c>
      <c r="E18" s="436" t="s">
        <v>901</v>
      </c>
      <c r="F18" s="437"/>
      <c r="G18" s="437"/>
      <c r="H18" s="437"/>
      <c r="I18" s="438"/>
      <c r="J18" s="244"/>
      <c r="K18" s="244"/>
      <c r="L18" s="244"/>
      <c r="M18" s="244"/>
      <c r="N18" s="244"/>
      <c r="O18" s="244"/>
      <c r="P18" s="244"/>
      <c r="Q18" s="244"/>
      <c r="R18" s="244"/>
      <c r="S18" s="244"/>
      <c r="T18" s="244"/>
      <c r="U18" s="244"/>
      <c r="V18" s="244"/>
      <c r="W18" s="244"/>
      <c r="X18" s="244"/>
      <c r="Y18" s="244"/>
      <c r="Z18" s="244"/>
      <c r="AA18" s="244"/>
      <c r="AB18" s="244"/>
      <c r="AC18" s="244"/>
    </row>
    <row r="19" spans="1:29" ht="54" customHeight="1" x14ac:dyDescent="0.25">
      <c r="A19" s="219"/>
      <c r="B19" s="249">
        <v>4</v>
      </c>
      <c r="C19" s="250" t="s">
        <v>982</v>
      </c>
      <c r="D19" s="250" t="s">
        <v>1376</v>
      </c>
      <c r="E19" s="436" t="s">
        <v>900</v>
      </c>
      <c r="F19" s="437"/>
      <c r="G19" s="437"/>
      <c r="H19" s="437"/>
      <c r="I19" s="438"/>
      <c r="J19" s="244"/>
      <c r="K19" s="244"/>
      <c r="L19" s="244"/>
      <c r="M19" s="244"/>
      <c r="N19" s="244"/>
      <c r="O19" s="244"/>
      <c r="P19" s="244"/>
      <c r="Q19" s="244"/>
      <c r="R19" s="244"/>
      <c r="S19" s="244"/>
      <c r="T19" s="244"/>
      <c r="U19" s="244"/>
      <c r="V19" s="244"/>
      <c r="W19" s="244"/>
      <c r="X19" s="244"/>
      <c r="Y19" s="244"/>
      <c r="Z19" s="244"/>
      <c r="AA19" s="244"/>
      <c r="AB19" s="244"/>
      <c r="AC19" s="244"/>
    </row>
    <row r="20" spans="1:29" ht="54" customHeight="1" x14ac:dyDescent="0.25">
      <c r="A20" s="219"/>
      <c r="B20" s="249">
        <v>5</v>
      </c>
      <c r="C20" s="250" t="s">
        <v>513</v>
      </c>
      <c r="D20" s="250" t="s">
        <v>899</v>
      </c>
      <c r="E20" s="436" t="s">
        <v>898</v>
      </c>
      <c r="F20" s="437"/>
      <c r="G20" s="437"/>
      <c r="H20" s="437"/>
      <c r="I20" s="438"/>
      <c r="J20" s="244"/>
      <c r="K20" s="244"/>
      <c r="L20" s="244"/>
      <c r="M20" s="244"/>
      <c r="N20" s="244"/>
      <c r="O20" s="244"/>
      <c r="P20" s="244"/>
      <c r="Q20" s="244"/>
      <c r="R20" s="244"/>
      <c r="S20" s="244"/>
      <c r="T20" s="244"/>
      <c r="U20" s="244"/>
      <c r="V20" s="244"/>
      <c r="W20" s="244"/>
      <c r="X20" s="244"/>
      <c r="Y20" s="244"/>
      <c r="Z20" s="244"/>
      <c r="AA20" s="244"/>
      <c r="AB20" s="244"/>
      <c r="AC20" s="244"/>
    </row>
    <row r="21" spans="1:29" ht="54" customHeight="1" x14ac:dyDescent="0.25">
      <c r="A21" s="219"/>
      <c r="B21" s="249">
        <v>6</v>
      </c>
      <c r="C21" s="250" t="s">
        <v>1445</v>
      </c>
      <c r="D21" s="250" t="s">
        <v>1600</v>
      </c>
      <c r="E21" s="436" t="s">
        <v>900</v>
      </c>
      <c r="F21" s="437"/>
      <c r="G21" s="437"/>
      <c r="H21" s="437"/>
      <c r="I21" s="438"/>
      <c r="J21" s="244"/>
      <c r="K21" s="244"/>
      <c r="L21" s="244"/>
      <c r="M21" s="244"/>
      <c r="N21" s="244"/>
      <c r="O21" s="244"/>
      <c r="P21" s="244"/>
      <c r="Q21" s="244"/>
      <c r="R21" s="244"/>
      <c r="S21" s="244"/>
      <c r="T21" s="244"/>
      <c r="U21" s="244"/>
      <c r="V21" s="244"/>
      <c r="W21" s="244"/>
      <c r="X21" s="244"/>
      <c r="Y21" s="244"/>
      <c r="Z21" s="244"/>
      <c r="AA21" s="244"/>
      <c r="AB21" s="244"/>
      <c r="AC21" s="244"/>
    </row>
    <row r="22" spans="1:29" ht="54" customHeight="1" x14ac:dyDescent="0.25">
      <c r="A22" s="219"/>
      <c r="B22" s="249">
        <v>7</v>
      </c>
      <c r="C22" s="250" t="s">
        <v>310</v>
      </c>
      <c r="D22" s="250" t="s">
        <v>1369</v>
      </c>
      <c r="E22" s="436" t="s">
        <v>936</v>
      </c>
      <c r="F22" s="437"/>
      <c r="G22" s="437"/>
      <c r="H22" s="437"/>
      <c r="I22" s="438"/>
      <c r="J22" s="244"/>
      <c r="K22" s="244"/>
      <c r="L22" s="244"/>
      <c r="M22" s="244"/>
      <c r="N22" s="244"/>
      <c r="O22" s="244"/>
      <c r="P22" s="244"/>
      <c r="Q22" s="244"/>
      <c r="R22" s="244"/>
      <c r="S22" s="244"/>
      <c r="T22" s="244"/>
      <c r="U22" s="244"/>
      <c r="V22" s="244"/>
      <c r="W22" s="244"/>
      <c r="X22" s="244"/>
      <c r="Y22" s="244"/>
      <c r="Z22" s="244"/>
      <c r="AA22" s="244"/>
      <c r="AB22" s="244"/>
      <c r="AC22" s="244"/>
    </row>
    <row r="23" spans="1:29" ht="54" customHeight="1" x14ac:dyDescent="0.25">
      <c r="A23" s="219"/>
      <c r="B23" s="249">
        <v>8</v>
      </c>
      <c r="C23" s="250" t="s">
        <v>81</v>
      </c>
      <c r="D23" s="273" t="s">
        <v>1377</v>
      </c>
      <c r="E23" s="436" t="s">
        <v>900</v>
      </c>
      <c r="F23" s="437"/>
      <c r="G23" s="437"/>
      <c r="H23" s="437"/>
      <c r="I23" s="438"/>
      <c r="J23" s="244"/>
      <c r="K23" s="244"/>
      <c r="L23" s="244"/>
      <c r="M23" s="244"/>
      <c r="N23" s="244"/>
      <c r="O23" s="244"/>
      <c r="P23" s="244"/>
      <c r="Q23" s="244"/>
      <c r="R23" s="244"/>
      <c r="S23" s="244"/>
      <c r="T23" s="244"/>
      <c r="U23" s="244"/>
      <c r="V23" s="244"/>
      <c r="W23" s="244"/>
      <c r="X23" s="244"/>
      <c r="Y23" s="244"/>
      <c r="Z23" s="244"/>
      <c r="AA23" s="244"/>
      <c r="AB23" s="244"/>
      <c r="AC23" s="244"/>
    </row>
    <row r="24" spans="1:29" ht="54" customHeight="1" x14ac:dyDescent="0.25">
      <c r="A24" s="219"/>
      <c r="B24" s="249">
        <v>9</v>
      </c>
      <c r="C24" s="250" t="s">
        <v>998</v>
      </c>
      <c r="D24" s="250" t="s">
        <v>975</v>
      </c>
      <c r="E24" s="436" t="s">
        <v>974</v>
      </c>
      <c r="F24" s="437"/>
      <c r="G24" s="437"/>
      <c r="H24" s="437"/>
      <c r="I24" s="438"/>
      <c r="J24" s="244"/>
      <c r="K24" s="244"/>
      <c r="L24" s="244"/>
      <c r="M24" s="244"/>
      <c r="N24" s="244"/>
      <c r="O24" s="244"/>
      <c r="P24" s="244"/>
      <c r="Q24" s="244"/>
      <c r="R24" s="244"/>
      <c r="S24" s="244"/>
      <c r="T24" s="244"/>
      <c r="U24" s="244"/>
      <c r="V24" s="244"/>
      <c r="W24" s="244"/>
      <c r="X24" s="244"/>
      <c r="Y24" s="244"/>
      <c r="Z24" s="244"/>
      <c r="AA24" s="244"/>
      <c r="AB24" s="244"/>
      <c r="AC24" s="244"/>
    </row>
    <row r="25" spans="1:29" ht="54" customHeight="1" x14ac:dyDescent="0.25">
      <c r="A25" s="219"/>
      <c r="B25" s="249">
        <v>10</v>
      </c>
      <c r="C25" s="250" t="s">
        <v>81</v>
      </c>
      <c r="D25" s="250" t="s">
        <v>1377</v>
      </c>
      <c r="E25" s="436" t="s">
        <v>900</v>
      </c>
      <c r="F25" s="437"/>
      <c r="G25" s="437"/>
      <c r="H25" s="437"/>
      <c r="I25" s="438"/>
      <c r="J25" s="244"/>
      <c r="K25" s="244"/>
      <c r="L25" s="244"/>
      <c r="M25" s="244"/>
      <c r="N25" s="244"/>
      <c r="O25" s="244"/>
      <c r="P25" s="244"/>
      <c r="Q25" s="244"/>
      <c r="R25" s="244"/>
      <c r="S25" s="244"/>
      <c r="T25" s="244"/>
      <c r="U25" s="244"/>
      <c r="V25" s="244"/>
      <c r="W25" s="244"/>
      <c r="X25" s="244"/>
      <c r="Y25" s="244"/>
      <c r="Z25" s="244"/>
      <c r="AA25" s="244"/>
      <c r="AB25" s="244"/>
      <c r="AC25" s="244"/>
    </row>
    <row r="26" spans="1:29" ht="54" customHeight="1" x14ac:dyDescent="0.25">
      <c r="A26" s="219"/>
      <c r="B26" s="249">
        <v>11</v>
      </c>
      <c r="C26" s="250" t="s">
        <v>1002</v>
      </c>
      <c r="D26" s="250" t="s">
        <v>973</v>
      </c>
      <c r="E26" s="436" t="s">
        <v>974</v>
      </c>
      <c r="F26" s="437"/>
      <c r="G26" s="437"/>
      <c r="H26" s="437"/>
      <c r="I26" s="438"/>
      <c r="J26" s="244"/>
      <c r="K26" s="244"/>
      <c r="L26" s="244"/>
      <c r="M26" s="244"/>
      <c r="N26" s="244"/>
      <c r="O26" s="244"/>
      <c r="P26" s="244"/>
      <c r="Q26" s="244"/>
      <c r="R26" s="244"/>
      <c r="S26" s="244"/>
      <c r="T26" s="244"/>
      <c r="U26" s="244"/>
      <c r="V26" s="244"/>
      <c r="W26" s="244"/>
      <c r="X26" s="244"/>
      <c r="Y26" s="244"/>
      <c r="Z26" s="244"/>
      <c r="AA26" s="244"/>
      <c r="AB26" s="244"/>
      <c r="AC26" s="244"/>
    </row>
    <row r="27" spans="1:29" ht="54" customHeight="1" x14ac:dyDescent="0.25">
      <c r="A27" s="219"/>
      <c r="B27" s="249">
        <v>12</v>
      </c>
      <c r="C27" s="250" t="s">
        <v>81</v>
      </c>
      <c r="D27" s="250" t="s">
        <v>1377</v>
      </c>
      <c r="E27" s="436" t="s">
        <v>900</v>
      </c>
      <c r="F27" s="437"/>
      <c r="G27" s="437"/>
      <c r="H27" s="437"/>
      <c r="I27" s="438"/>
      <c r="J27" s="244"/>
      <c r="K27" s="244"/>
      <c r="L27" s="244"/>
      <c r="M27" s="244"/>
      <c r="N27" s="244"/>
      <c r="O27" s="244"/>
      <c r="P27" s="244"/>
      <c r="Q27" s="244"/>
      <c r="R27" s="244"/>
      <c r="S27" s="244"/>
      <c r="T27" s="244"/>
      <c r="U27" s="244"/>
      <c r="V27" s="244"/>
      <c r="W27" s="244"/>
      <c r="X27" s="244"/>
      <c r="Y27" s="244"/>
      <c r="Z27" s="244"/>
      <c r="AA27" s="244"/>
      <c r="AB27" s="244"/>
      <c r="AC27" s="244"/>
    </row>
    <row r="28" spans="1:29" ht="54" customHeight="1" x14ac:dyDescent="0.25">
      <c r="A28" s="219"/>
      <c r="B28" s="249">
        <v>13</v>
      </c>
      <c r="C28" s="250" t="s">
        <v>1002</v>
      </c>
      <c r="D28" s="275" t="s">
        <v>973</v>
      </c>
      <c r="E28" s="436" t="s">
        <v>974</v>
      </c>
      <c r="F28" s="437"/>
      <c r="G28" s="437"/>
      <c r="H28" s="437"/>
      <c r="I28" s="438"/>
      <c r="J28" s="244"/>
      <c r="K28" s="244"/>
      <c r="L28" s="244"/>
      <c r="M28" s="244"/>
      <c r="N28" s="244"/>
      <c r="O28" s="244"/>
      <c r="P28" s="244"/>
      <c r="Q28" s="244"/>
      <c r="R28" s="244"/>
      <c r="S28" s="244"/>
      <c r="T28" s="244"/>
      <c r="U28" s="244"/>
      <c r="V28" s="244"/>
      <c r="W28" s="244"/>
      <c r="X28" s="244"/>
      <c r="Y28" s="244"/>
      <c r="Z28" s="244"/>
      <c r="AA28" s="244"/>
      <c r="AB28" s="244"/>
      <c r="AC28" s="244"/>
    </row>
    <row r="29" spans="1:29" ht="54" customHeight="1" x14ac:dyDescent="0.25">
      <c r="A29" s="219"/>
      <c r="B29" s="249">
        <v>14</v>
      </c>
      <c r="C29" s="250" t="s">
        <v>81</v>
      </c>
      <c r="D29" s="275" t="s">
        <v>1377</v>
      </c>
      <c r="E29" s="436" t="s">
        <v>900</v>
      </c>
      <c r="F29" s="437"/>
      <c r="G29" s="437"/>
      <c r="H29" s="437"/>
      <c r="I29" s="438"/>
      <c r="J29" s="244"/>
      <c r="K29" s="244"/>
      <c r="L29" s="244"/>
      <c r="M29" s="244"/>
      <c r="N29" s="244"/>
      <c r="O29" s="244"/>
      <c r="P29" s="244"/>
      <c r="Q29" s="244"/>
      <c r="R29" s="244"/>
      <c r="S29" s="244"/>
      <c r="T29" s="244"/>
      <c r="U29" s="244"/>
      <c r="V29" s="244"/>
      <c r="W29" s="244"/>
      <c r="X29" s="244"/>
      <c r="Y29" s="244"/>
      <c r="Z29" s="244"/>
      <c r="AA29" s="244"/>
      <c r="AB29" s="244"/>
      <c r="AC29" s="244"/>
    </row>
    <row r="30" spans="1:29" ht="54" customHeight="1" x14ac:dyDescent="0.25">
      <c r="A30" s="219"/>
      <c r="B30" s="249">
        <v>15</v>
      </c>
      <c r="C30" s="250" t="s">
        <v>518</v>
      </c>
      <c r="D30" s="275" t="s">
        <v>1370</v>
      </c>
      <c r="E30" s="436" t="s">
        <v>1420</v>
      </c>
      <c r="F30" s="437"/>
      <c r="G30" s="437"/>
      <c r="H30" s="437"/>
      <c r="I30" s="438"/>
      <c r="J30" s="244"/>
      <c r="K30" s="244"/>
      <c r="L30" s="244"/>
      <c r="M30" s="244"/>
      <c r="N30" s="244"/>
      <c r="O30" s="244"/>
      <c r="P30" s="244"/>
      <c r="Q30" s="244"/>
      <c r="R30" s="244"/>
      <c r="S30" s="244"/>
      <c r="T30" s="244"/>
      <c r="U30" s="244"/>
      <c r="V30" s="244"/>
      <c r="W30" s="244"/>
      <c r="X30" s="244"/>
      <c r="Y30" s="244"/>
      <c r="Z30" s="244"/>
      <c r="AA30" s="244"/>
      <c r="AB30" s="244"/>
      <c r="AC30" s="244"/>
    </row>
    <row r="31" spans="1:29" ht="54" customHeight="1" x14ac:dyDescent="0.25">
      <c r="A31" s="219"/>
      <c r="B31" s="249">
        <v>16</v>
      </c>
      <c r="C31" s="250" t="s">
        <v>796</v>
      </c>
      <c r="D31" s="274" t="s">
        <v>940</v>
      </c>
      <c r="E31" s="436" t="s">
        <v>901</v>
      </c>
      <c r="F31" s="437"/>
      <c r="G31" s="437"/>
      <c r="H31" s="437"/>
      <c r="I31" s="438"/>
      <c r="J31" s="244"/>
      <c r="K31" s="244"/>
      <c r="L31" s="244"/>
      <c r="M31" s="244"/>
      <c r="N31" s="244"/>
      <c r="O31" s="244"/>
      <c r="P31" s="244"/>
      <c r="Q31" s="244"/>
      <c r="R31" s="244"/>
      <c r="S31" s="244"/>
      <c r="T31" s="244"/>
      <c r="U31" s="244"/>
      <c r="V31" s="244"/>
      <c r="W31" s="244"/>
      <c r="X31" s="244"/>
      <c r="Y31" s="244"/>
      <c r="Z31" s="244"/>
      <c r="AA31" s="244"/>
      <c r="AB31" s="244"/>
      <c r="AC31" s="244"/>
    </row>
    <row r="32" spans="1:29" ht="54" customHeight="1" x14ac:dyDescent="0.25">
      <c r="A32" s="219"/>
      <c r="B32" s="249">
        <v>17</v>
      </c>
      <c r="C32" s="250" t="s">
        <v>958</v>
      </c>
      <c r="D32" s="275" t="s">
        <v>976</v>
      </c>
      <c r="E32" s="436" t="s">
        <v>978</v>
      </c>
      <c r="F32" s="437"/>
      <c r="G32" s="437"/>
      <c r="H32" s="437"/>
      <c r="I32" s="438"/>
      <c r="J32" s="244"/>
      <c r="K32" s="244"/>
      <c r="L32" s="244"/>
      <c r="M32" s="244"/>
      <c r="N32" s="244"/>
      <c r="O32" s="244"/>
      <c r="P32" s="244"/>
      <c r="Q32" s="244"/>
      <c r="R32" s="244"/>
      <c r="S32" s="244"/>
      <c r="T32" s="244"/>
      <c r="U32" s="244"/>
      <c r="V32" s="244"/>
      <c r="W32" s="244"/>
      <c r="X32" s="244"/>
      <c r="Y32" s="244"/>
      <c r="Z32" s="244"/>
      <c r="AA32" s="244"/>
      <c r="AB32" s="244"/>
      <c r="AC32" s="244"/>
    </row>
    <row r="33" spans="1:29" ht="54" customHeight="1" x14ac:dyDescent="0.25">
      <c r="A33" s="219"/>
      <c r="B33" s="249">
        <v>18</v>
      </c>
      <c r="C33" s="250" t="s">
        <v>1008</v>
      </c>
      <c r="D33" s="275" t="s">
        <v>976</v>
      </c>
      <c r="E33" s="436" t="s">
        <v>977</v>
      </c>
      <c r="F33" s="437"/>
      <c r="G33" s="437"/>
      <c r="H33" s="437"/>
      <c r="I33" s="438"/>
      <c r="J33" s="244"/>
      <c r="K33" s="244"/>
      <c r="L33" s="244"/>
      <c r="M33" s="244"/>
      <c r="N33" s="244"/>
      <c r="O33" s="244"/>
      <c r="P33" s="244"/>
      <c r="Q33" s="244"/>
      <c r="R33" s="244"/>
      <c r="S33" s="244"/>
      <c r="T33" s="244"/>
      <c r="U33" s="244"/>
      <c r="V33" s="244"/>
      <c r="W33" s="244"/>
      <c r="X33" s="244"/>
      <c r="Y33" s="244"/>
      <c r="Z33" s="244"/>
      <c r="AA33" s="244"/>
      <c r="AB33" s="244"/>
      <c r="AC33" s="244"/>
    </row>
    <row r="34" spans="1:29" ht="54" customHeight="1" x14ac:dyDescent="0.25">
      <c r="A34" s="219"/>
      <c r="B34" s="249">
        <v>19</v>
      </c>
      <c r="C34" s="250" t="s">
        <v>1010</v>
      </c>
      <c r="D34" s="275" t="s">
        <v>976</v>
      </c>
      <c r="E34" s="436" t="s">
        <v>979</v>
      </c>
      <c r="F34" s="437"/>
      <c r="G34" s="437"/>
      <c r="H34" s="437"/>
      <c r="I34" s="438"/>
      <c r="J34" s="244"/>
      <c r="K34" s="244"/>
      <c r="L34" s="244"/>
      <c r="M34" s="244"/>
      <c r="N34" s="244"/>
      <c r="O34" s="244"/>
      <c r="P34" s="244"/>
      <c r="Q34" s="244"/>
      <c r="R34" s="244"/>
      <c r="S34" s="244"/>
      <c r="T34" s="244"/>
      <c r="U34" s="244"/>
      <c r="V34" s="244"/>
      <c r="W34" s="244"/>
      <c r="X34" s="244"/>
      <c r="Y34" s="244"/>
      <c r="Z34" s="244"/>
      <c r="AA34" s="244"/>
      <c r="AB34" s="244"/>
      <c r="AC34" s="244"/>
    </row>
    <row r="35" spans="1:29" ht="54" customHeight="1" x14ac:dyDescent="0.25">
      <c r="A35" s="219"/>
      <c r="B35" s="249">
        <v>20</v>
      </c>
      <c r="C35" s="250" t="s">
        <v>1455</v>
      </c>
      <c r="D35" s="274" t="s">
        <v>1603</v>
      </c>
      <c r="E35" s="436" t="s">
        <v>901</v>
      </c>
      <c r="F35" s="437"/>
      <c r="G35" s="437"/>
      <c r="H35" s="437"/>
      <c r="I35" s="438"/>
      <c r="J35" s="244"/>
      <c r="K35" s="244"/>
      <c r="L35" s="244"/>
      <c r="M35" s="244"/>
      <c r="N35" s="244"/>
      <c r="O35" s="244"/>
      <c r="P35" s="244"/>
      <c r="Q35" s="244"/>
      <c r="R35" s="244"/>
      <c r="S35" s="244"/>
      <c r="T35" s="244"/>
      <c r="U35" s="244"/>
      <c r="V35" s="244"/>
      <c r="W35" s="244"/>
      <c r="X35" s="244"/>
      <c r="Y35" s="244"/>
      <c r="Z35" s="244"/>
      <c r="AA35" s="244"/>
      <c r="AB35" s="244"/>
      <c r="AC35" s="244"/>
    </row>
    <row r="36" spans="1:29" ht="54" customHeight="1" x14ac:dyDescent="0.25">
      <c r="A36" s="219"/>
      <c r="B36" s="249">
        <v>21</v>
      </c>
      <c r="C36" s="250" t="s">
        <v>1458</v>
      </c>
      <c r="D36" s="250" t="s">
        <v>1601</v>
      </c>
      <c r="E36" s="436" t="s">
        <v>900</v>
      </c>
      <c r="F36" s="437"/>
      <c r="G36" s="437"/>
      <c r="H36" s="437"/>
      <c r="I36" s="438"/>
      <c r="J36" s="244"/>
      <c r="K36" s="244"/>
      <c r="L36" s="244"/>
      <c r="M36" s="244"/>
      <c r="N36" s="244"/>
      <c r="O36" s="244"/>
      <c r="P36" s="244"/>
      <c r="Q36" s="244"/>
      <c r="R36" s="244"/>
      <c r="S36" s="244"/>
      <c r="T36" s="244"/>
      <c r="U36" s="244"/>
      <c r="V36" s="244"/>
      <c r="W36" s="244"/>
      <c r="X36" s="244"/>
      <c r="Y36" s="244"/>
      <c r="Z36" s="244"/>
      <c r="AA36" s="244"/>
      <c r="AB36" s="244"/>
      <c r="AC36" s="244"/>
    </row>
    <row r="37" spans="1:29" ht="54" customHeight="1" x14ac:dyDescent="0.25">
      <c r="A37" s="219"/>
      <c r="B37" s="249">
        <v>22</v>
      </c>
      <c r="C37" s="250" t="s">
        <v>1014</v>
      </c>
      <c r="D37" s="250" t="s">
        <v>1378</v>
      </c>
      <c r="E37" s="436" t="s">
        <v>900</v>
      </c>
      <c r="F37" s="437"/>
      <c r="G37" s="437"/>
      <c r="H37" s="437"/>
      <c r="I37" s="438"/>
      <c r="J37" s="244"/>
      <c r="K37" s="244"/>
      <c r="L37" s="244"/>
      <c r="M37" s="244"/>
      <c r="N37" s="244"/>
      <c r="O37" s="244"/>
      <c r="P37" s="244"/>
      <c r="Q37" s="244"/>
      <c r="R37" s="244"/>
      <c r="S37" s="244"/>
      <c r="T37" s="244"/>
      <c r="U37" s="244"/>
      <c r="V37" s="244"/>
      <c r="W37" s="244"/>
      <c r="X37" s="244"/>
      <c r="Y37" s="244"/>
      <c r="Z37" s="244"/>
      <c r="AA37" s="244"/>
      <c r="AB37" s="244"/>
      <c r="AC37" s="244"/>
    </row>
    <row r="38" spans="1:29" ht="54" customHeight="1" x14ac:dyDescent="0.25">
      <c r="A38" s="219"/>
      <c r="B38" s="249">
        <v>23</v>
      </c>
      <c r="C38" s="250" t="s">
        <v>791</v>
      </c>
      <c r="D38" s="275" t="s">
        <v>941</v>
      </c>
      <c r="E38" s="436" t="s">
        <v>900</v>
      </c>
      <c r="F38" s="437"/>
      <c r="G38" s="437"/>
      <c r="H38" s="437"/>
      <c r="I38" s="438"/>
      <c r="J38" s="244"/>
      <c r="K38" s="244"/>
      <c r="L38" s="244"/>
      <c r="M38" s="244"/>
      <c r="N38" s="244"/>
      <c r="O38" s="244"/>
      <c r="P38" s="244"/>
      <c r="Q38" s="244"/>
      <c r="R38" s="244"/>
      <c r="S38" s="244"/>
      <c r="T38" s="244"/>
      <c r="U38" s="244"/>
      <c r="V38" s="244"/>
      <c r="W38" s="244"/>
      <c r="X38" s="244"/>
      <c r="Y38" s="244"/>
      <c r="Z38" s="244"/>
      <c r="AA38" s="244"/>
      <c r="AB38" s="244"/>
      <c r="AC38" s="244"/>
    </row>
    <row r="39" spans="1:29" ht="54" customHeight="1" x14ac:dyDescent="0.25">
      <c r="A39" s="219"/>
      <c r="B39" s="249">
        <v>24</v>
      </c>
      <c r="C39" s="250" t="s">
        <v>1352</v>
      </c>
      <c r="D39" s="250" t="s">
        <v>1379</v>
      </c>
      <c r="E39" s="436" t="s">
        <v>898</v>
      </c>
      <c r="F39" s="437"/>
      <c r="G39" s="437"/>
      <c r="H39" s="437"/>
      <c r="I39" s="438"/>
      <c r="J39" s="244"/>
      <c r="K39" s="244"/>
      <c r="L39" s="244"/>
      <c r="M39" s="244"/>
      <c r="N39" s="244"/>
      <c r="O39" s="244"/>
      <c r="P39" s="244"/>
      <c r="Q39" s="244"/>
      <c r="R39" s="244"/>
      <c r="S39" s="244"/>
      <c r="T39" s="244"/>
      <c r="U39" s="244"/>
      <c r="V39" s="244"/>
      <c r="W39" s="244"/>
      <c r="X39" s="244"/>
      <c r="Y39" s="244"/>
      <c r="Z39" s="244"/>
      <c r="AA39" s="244"/>
      <c r="AB39" s="244"/>
      <c r="AC39" s="244"/>
    </row>
    <row r="40" spans="1:29" ht="54" customHeight="1" x14ac:dyDescent="0.25">
      <c r="A40" s="219"/>
      <c r="B40" s="249">
        <v>25</v>
      </c>
      <c r="C40" s="250" t="s">
        <v>1426</v>
      </c>
      <c r="D40" s="250" t="s">
        <v>1602</v>
      </c>
      <c r="E40" s="436" t="s">
        <v>900</v>
      </c>
      <c r="F40" s="437"/>
      <c r="G40" s="437"/>
      <c r="H40" s="437"/>
      <c r="I40" s="438"/>
      <c r="J40" s="244"/>
      <c r="K40" s="244"/>
      <c r="L40" s="244"/>
      <c r="M40" s="244"/>
      <c r="N40" s="244"/>
      <c r="O40" s="244"/>
      <c r="P40" s="244"/>
      <c r="Q40" s="244"/>
      <c r="R40" s="244"/>
      <c r="S40" s="244"/>
      <c r="T40" s="244"/>
      <c r="U40" s="244"/>
      <c r="V40" s="244"/>
      <c r="W40" s="244"/>
      <c r="X40" s="244"/>
      <c r="Y40" s="244"/>
      <c r="Z40" s="244"/>
      <c r="AA40" s="244"/>
      <c r="AB40" s="244"/>
      <c r="AC40" s="244"/>
    </row>
    <row r="41" spans="1:29" ht="54" customHeight="1" x14ac:dyDescent="0.25">
      <c r="A41" s="219"/>
      <c r="B41" s="249">
        <v>26</v>
      </c>
      <c r="C41" s="250" t="s">
        <v>1016</v>
      </c>
      <c r="D41" s="274" t="s">
        <v>1380</v>
      </c>
      <c r="E41" s="436" t="s">
        <v>898</v>
      </c>
      <c r="F41" s="437"/>
      <c r="G41" s="437"/>
      <c r="H41" s="437"/>
      <c r="I41" s="438"/>
      <c r="J41" s="244"/>
      <c r="K41" s="244"/>
      <c r="L41" s="244"/>
      <c r="M41" s="244"/>
      <c r="N41" s="244"/>
      <c r="O41" s="244"/>
      <c r="P41" s="244"/>
      <c r="Q41" s="244"/>
      <c r="R41" s="244"/>
      <c r="S41" s="244"/>
      <c r="T41" s="244"/>
      <c r="U41" s="244"/>
      <c r="V41" s="244"/>
      <c r="W41" s="244"/>
      <c r="X41" s="244"/>
      <c r="Y41" s="244"/>
      <c r="Z41" s="244"/>
      <c r="AA41" s="244"/>
      <c r="AB41" s="244"/>
      <c r="AC41" s="244"/>
    </row>
    <row r="42" spans="1:29" ht="54" customHeight="1" x14ac:dyDescent="0.25">
      <c r="A42" s="219"/>
      <c r="B42" s="249">
        <v>27</v>
      </c>
      <c r="C42" s="250" t="s">
        <v>1018</v>
      </c>
      <c r="D42" s="274" t="s">
        <v>1381</v>
      </c>
      <c r="E42" s="436" t="s">
        <v>902</v>
      </c>
      <c r="F42" s="437"/>
      <c r="G42" s="437"/>
      <c r="H42" s="437"/>
      <c r="I42" s="438"/>
      <c r="J42" s="244"/>
      <c r="K42" s="244"/>
      <c r="L42" s="244"/>
      <c r="M42" s="244"/>
      <c r="N42" s="244"/>
      <c r="O42" s="244"/>
      <c r="P42" s="244"/>
      <c r="Q42" s="244"/>
      <c r="R42" s="244"/>
      <c r="S42" s="244"/>
      <c r="T42" s="244"/>
      <c r="U42" s="244"/>
      <c r="V42" s="244"/>
      <c r="W42" s="244"/>
      <c r="X42" s="244"/>
      <c r="Y42" s="244"/>
      <c r="Z42" s="244"/>
      <c r="AA42" s="244"/>
      <c r="AB42" s="244"/>
      <c r="AC42" s="244"/>
    </row>
    <row r="43" spans="1:29" ht="54" customHeight="1" x14ac:dyDescent="0.25">
      <c r="A43" s="219"/>
      <c r="B43" s="249">
        <v>28</v>
      </c>
      <c r="C43" s="250" t="s">
        <v>1460</v>
      </c>
      <c r="D43" s="274" t="s">
        <v>1606</v>
      </c>
      <c r="E43" s="436" t="s">
        <v>898</v>
      </c>
      <c r="F43" s="437"/>
      <c r="G43" s="437"/>
      <c r="H43" s="437"/>
      <c r="I43" s="438"/>
      <c r="J43" s="244"/>
      <c r="K43" s="244"/>
      <c r="L43" s="244"/>
      <c r="M43" s="244"/>
      <c r="N43" s="244"/>
      <c r="O43" s="244"/>
      <c r="P43" s="244"/>
      <c r="Q43" s="244"/>
      <c r="R43" s="244"/>
      <c r="S43" s="244"/>
      <c r="T43" s="244"/>
      <c r="U43" s="244"/>
      <c r="V43" s="244"/>
      <c r="W43" s="244"/>
      <c r="X43" s="244"/>
      <c r="Y43" s="244"/>
      <c r="Z43" s="244"/>
      <c r="AA43" s="244"/>
      <c r="AB43" s="244"/>
      <c r="AC43" s="244"/>
    </row>
    <row r="44" spans="1:29" ht="54" customHeight="1" x14ac:dyDescent="0.25">
      <c r="A44" s="219"/>
      <c r="B44" s="249">
        <v>29</v>
      </c>
      <c r="C44" s="250" t="s">
        <v>1429</v>
      </c>
      <c r="D44" s="250" t="s">
        <v>1607</v>
      </c>
      <c r="E44" s="436" t="s">
        <v>900</v>
      </c>
      <c r="F44" s="437"/>
      <c r="G44" s="437"/>
      <c r="H44" s="437"/>
      <c r="I44" s="438"/>
      <c r="J44" s="244"/>
      <c r="K44" s="244"/>
      <c r="L44" s="244"/>
      <c r="M44" s="244"/>
      <c r="N44" s="244"/>
      <c r="O44" s="244"/>
      <c r="P44" s="244"/>
      <c r="Q44" s="244"/>
      <c r="R44" s="244"/>
      <c r="S44" s="244"/>
      <c r="T44" s="244"/>
      <c r="U44" s="244"/>
      <c r="V44" s="244"/>
      <c r="W44" s="244"/>
      <c r="X44" s="244"/>
      <c r="Y44" s="244"/>
      <c r="Z44" s="244"/>
      <c r="AA44" s="244"/>
      <c r="AB44" s="244"/>
      <c r="AC44" s="244"/>
    </row>
    <row r="45" spans="1:29" ht="54" customHeight="1" x14ac:dyDescent="0.25">
      <c r="A45" s="219"/>
      <c r="B45" s="249">
        <v>30</v>
      </c>
      <c r="C45" s="250" t="s">
        <v>1463</v>
      </c>
      <c r="D45" s="274" t="s">
        <v>1608</v>
      </c>
      <c r="E45" s="436" t="s">
        <v>901</v>
      </c>
      <c r="F45" s="437"/>
      <c r="G45" s="437"/>
      <c r="H45" s="437"/>
      <c r="I45" s="438"/>
      <c r="J45" s="244"/>
      <c r="K45" s="244"/>
      <c r="L45" s="244"/>
      <c r="M45" s="244"/>
      <c r="N45" s="244"/>
      <c r="O45" s="244"/>
      <c r="P45" s="244"/>
      <c r="Q45" s="244"/>
      <c r="R45" s="244"/>
      <c r="S45" s="244"/>
      <c r="T45" s="244"/>
      <c r="U45" s="244"/>
      <c r="V45" s="244"/>
      <c r="W45" s="244"/>
      <c r="X45" s="244"/>
      <c r="Y45" s="244"/>
      <c r="Z45" s="244"/>
      <c r="AA45" s="244"/>
      <c r="AB45" s="244"/>
      <c r="AC45" s="244"/>
    </row>
    <row r="46" spans="1:29" ht="54" customHeight="1" x14ac:dyDescent="0.25">
      <c r="A46" s="219"/>
      <c r="B46" s="249">
        <v>31</v>
      </c>
      <c r="C46" s="250" t="s">
        <v>543</v>
      </c>
      <c r="D46" s="250" t="s">
        <v>1382</v>
      </c>
      <c r="E46" s="436" t="s">
        <v>901</v>
      </c>
      <c r="F46" s="437"/>
      <c r="G46" s="437"/>
      <c r="H46" s="437"/>
      <c r="I46" s="438"/>
      <c r="J46" s="244"/>
      <c r="K46" s="244"/>
      <c r="L46" s="244"/>
      <c r="M46" s="244"/>
      <c r="N46" s="244"/>
      <c r="O46" s="244"/>
      <c r="P46" s="244"/>
      <c r="Q46" s="244"/>
      <c r="R46" s="244"/>
      <c r="S46" s="244"/>
      <c r="T46" s="244"/>
      <c r="U46" s="244"/>
      <c r="V46" s="244"/>
      <c r="W46" s="244"/>
      <c r="X46" s="244"/>
      <c r="Y46" s="244"/>
      <c r="Z46" s="244"/>
      <c r="AA46" s="244"/>
      <c r="AB46" s="244"/>
      <c r="AC46" s="244"/>
    </row>
    <row r="47" spans="1:29" ht="54" customHeight="1" x14ac:dyDescent="0.25">
      <c r="A47" s="219"/>
      <c r="B47" s="249">
        <v>32</v>
      </c>
      <c r="C47" s="250" t="s">
        <v>545</v>
      </c>
      <c r="D47" s="250" t="s">
        <v>1383</v>
      </c>
      <c r="E47" s="436" t="s">
        <v>898</v>
      </c>
      <c r="F47" s="437"/>
      <c r="G47" s="437"/>
      <c r="H47" s="437"/>
      <c r="I47" s="438"/>
      <c r="J47" s="244"/>
      <c r="K47" s="244"/>
      <c r="L47" s="244"/>
      <c r="M47" s="244"/>
      <c r="N47" s="244"/>
      <c r="O47" s="244"/>
      <c r="P47" s="244"/>
      <c r="Q47" s="244"/>
      <c r="R47" s="244"/>
      <c r="S47" s="244"/>
      <c r="T47" s="244"/>
      <c r="U47" s="244"/>
      <c r="V47" s="244"/>
      <c r="W47" s="244"/>
      <c r="X47" s="244"/>
      <c r="Y47" s="244"/>
      <c r="Z47" s="244"/>
      <c r="AA47" s="244"/>
      <c r="AB47" s="244"/>
      <c r="AC47" s="244"/>
    </row>
    <row r="48" spans="1:29" ht="54" customHeight="1" x14ac:dyDescent="0.25">
      <c r="A48" s="219"/>
      <c r="B48" s="249">
        <v>33</v>
      </c>
      <c r="C48" s="250" t="s">
        <v>266</v>
      </c>
      <c r="D48" s="274" t="s">
        <v>1384</v>
      </c>
      <c r="E48" s="436" t="s">
        <v>901</v>
      </c>
      <c r="F48" s="437"/>
      <c r="G48" s="437"/>
      <c r="H48" s="437"/>
      <c r="I48" s="438"/>
      <c r="J48" s="244"/>
      <c r="K48" s="244"/>
      <c r="L48" s="244"/>
      <c r="M48" s="244"/>
      <c r="N48" s="244"/>
      <c r="O48" s="244"/>
      <c r="P48" s="244"/>
      <c r="Q48" s="244"/>
      <c r="R48" s="244"/>
      <c r="S48" s="244"/>
      <c r="T48" s="244"/>
      <c r="U48" s="244"/>
      <c r="V48" s="244"/>
      <c r="W48" s="244"/>
      <c r="X48" s="244"/>
      <c r="Y48" s="244"/>
      <c r="Z48" s="244"/>
      <c r="AA48" s="244"/>
      <c r="AB48" s="244"/>
      <c r="AC48" s="244"/>
    </row>
    <row r="49" spans="1:29" ht="54" customHeight="1" x14ac:dyDescent="0.25">
      <c r="A49" s="219"/>
      <c r="B49" s="249">
        <v>34</v>
      </c>
      <c r="C49" s="250" t="s">
        <v>548</v>
      </c>
      <c r="D49" s="274" t="s">
        <v>1385</v>
      </c>
      <c r="E49" s="436" t="s">
        <v>900</v>
      </c>
      <c r="F49" s="437"/>
      <c r="G49" s="437"/>
      <c r="H49" s="437"/>
      <c r="I49" s="438"/>
      <c r="J49" s="244"/>
      <c r="K49" s="244"/>
      <c r="L49" s="244"/>
      <c r="M49" s="244"/>
      <c r="N49" s="244"/>
      <c r="O49" s="244"/>
      <c r="P49" s="244"/>
      <c r="Q49" s="244"/>
      <c r="R49" s="244"/>
      <c r="S49" s="244"/>
      <c r="T49" s="244"/>
      <c r="U49" s="244"/>
      <c r="V49" s="244"/>
      <c r="W49" s="244"/>
      <c r="X49" s="244"/>
      <c r="Y49" s="244"/>
      <c r="Z49" s="244"/>
      <c r="AA49" s="244"/>
      <c r="AB49" s="244"/>
      <c r="AC49" s="244"/>
    </row>
    <row r="50" spans="1:29" ht="54" customHeight="1" x14ac:dyDescent="0.25">
      <c r="A50" s="219"/>
      <c r="B50" s="249">
        <v>35</v>
      </c>
      <c r="C50" s="250" t="s">
        <v>826</v>
      </c>
      <c r="D50" s="274" t="s">
        <v>1386</v>
      </c>
      <c r="E50" s="436" t="s">
        <v>900</v>
      </c>
      <c r="F50" s="437"/>
      <c r="G50" s="437"/>
      <c r="H50" s="437"/>
      <c r="I50" s="438"/>
      <c r="J50" s="244"/>
      <c r="K50" s="244"/>
      <c r="L50" s="244"/>
      <c r="M50" s="244"/>
      <c r="N50" s="244"/>
      <c r="O50" s="244"/>
      <c r="P50" s="244"/>
      <c r="Q50" s="244"/>
      <c r="R50" s="244"/>
      <c r="S50" s="244"/>
      <c r="T50" s="244"/>
      <c r="U50" s="244"/>
      <c r="V50" s="244"/>
      <c r="W50" s="244"/>
      <c r="X50" s="244"/>
      <c r="Y50" s="244"/>
      <c r="Z50" s="244"/>
      <c r="AA50" s="244"/>
      <c r="AB50" s="244"/>
      <c r="AC50" s="244"/>
    </row>
    <row r="51" spans="1:29" ht="54" customHeight="1" x14ac:dyDescent="0.25">
      <c r="A51" s="219"/>
      <c r="B51" s="249">
        <v>36</v>
      </c>
      <c r="C51" s="250" t="s">
        <v>828</v>
      </c>
      <c r="D51" s="274" t="s">
        <v>942</v>
      </c>
      <c r="E51" s="436" t="s">
        <v>898</v>
      </c>
      <c r="F51" s="437"/>
      <c r="G51" s="437"/>
      <c r="H51" s="437"/>
      <c r="I51" s="438"/>
      <c r="J51" s="244"/>
      <c r="K51" s="244"/>
      <c r="L51" s="244"/>
      <c r="M51" s="244"/>
      <c r="N51" s="244"/>
      <c r="O51" s="244"/>
      <c r="P51" s="244"/>
      <c r="Q51" s="244"/>
      <c r="R51" s="244"/>
      <c r="S51" s="244"/>
      <c r="T51" s="244"/>
      <c r="U51" s="244"/>
      <c r="V51" s="244"/>
      <c r="W51" s="244"/>
      <c r="X51" s="244"/>
      <c r="Y51" s="244"/>
      <c r="Z51" s="244"/>
      <c r="AA51" s="244"/>
      <c r="AB51" s="244"/>
      <c r="AC51" s="244"/>
    </row>
    <row r="52" spans="1:29" ht="54" customHeight="1" x14ac:dyDescent="0.25">
      <c r="A52" s="219"/>
      <c r="B52" s="249">
        <v>37</v>
      </c>
      <c r="C52" s="250" t="s">
        <v>830</v>
      </c>
      <c r="D52" s="274" t="s">
        <v>943</v>
      </c>
      <c r="E52" s="436" t="s">
        <v>900</v>
      </c>
      <c r="F52" s="437"/>
      <c r="G52" s="437"/>
      <c r="H52" s="437"/>
      <c r="I52" s="438"/>
      <c r="J52" s="244"/>
      <c r="K52" s="244"/>
      <c r="L52" s="244"/>
      <c r="M52" s="244"/>
      <c r="N52" s="244"/>
      <c r="O52" s="244"/>
      <c r="P52" s="244"/>
      <c r="Q52" s="244"/>
      <c r="R52" s="244"/>
      <c r="S52" s="244"/>
      <c r="T52" s="244"/>
      <c r="U52" s="244"/>
      <c r="V52" s="244"/>
      <c r="W52" s="244"/>
      <c r="X52" s="244"/>
      <c r="Y52" s="244"/>
      <c r="Z52" s="244"/>
      <c r="AA52" s="244"/>
      <c r="AB52" s="244"/>
      <c r="AC52" s="244"/>
    </row>
    <row r="53" spans="1:29" ht="54" customHeight="1" x14ac:dyDescent="0.25">
      <c r="A53" s="219"/>
      <c r="B53" s="249">
        <v>38</v>
      </c>
      <c r="C53" s="250" t="s">
        <v>145</v>
      </c>
      <c r="D53" s="274" t="s">
        <v>1387</v>
      </c>
      <c r="E53" s="436" t="s">
        <v>901</v>
      </c>
      <c r="F53" s="437"/>
      <c r="G53" s="437"/>
      <c r="H53" s="437"/>
      <c r="I53" s="438"/>
      <c r="J53" s="244"/>
      <c r="K53" s="244"/>
      <c r="L53" s="244"/>
      <c r="M53" s="244"/>
      <c r="N53" s="244"/>
      <c r="O53" s="244"/>
      <c r="P53" s="244"/>
      <c r="Q53" s="244"/>
      <c r="R53" s="244"/>
      <c r="S53" s="244"/>
      <c r="T53" s="244"/>
      <c r="U53" s="244"/>
      <c r="V53" s="244"/>
      <c r="W53" s="244"/>
      <c r="X53" s="244"/>
      <c r="Y53" s="244"/>
      <c r="Z53" s="244"/>
      <c r="AA53" s="244"/>
      <c r="AB53" s="244"/>
      <c r="AC53" s="244"/>
    </row>
    <row r="54" spans="1:29" ht="54" customHeight="1" x14ac:dyDescent="0.25">
      <c r="A54" s="219"/>
      <c r="B54" s="249">
        <v>39</v>
      </c>
      <c r="C54" s="250" t="s">
        <v>236</v>
      </c>
      <c r="D54" s="250" t="s">
        <v>1388</v>
      </c>
      <c r="E54" s="436" t="s">
        <v>901</v>
      </c>
      <c r="F54" s="437"/>
      <c r="G54" s="437"/>
      <c r="H54" s="437"/>
      <c r="I54" s="438"/>
      <c r="J54" s="244"/>
      <c r="K54" s="244"/>
      <c r="L54" s="244"/>
      <c r="M54" s="244"/>
      <c r="N54" s="244"/>
      <c r="O54" s="244"/>
      <c r="P54" s="244"/>
      <c r="Q54" s="244"/>
      <c r="R54" s="244"/>
      <c r="S54" s="244"/>
      <c r="T54" s="244"/>
      <c r="U54" s="244"/>
      <c r="V54" s="244"/>
      <c r="W54" s="244"/>
      <c r="X54" s="244"/>
      <c r="Y54" s="244"/>
      <c r="Z54" s="244"/>
      <c r="AA54" s="244"/>
      <c r="AB54" s="244"/>
      <c r="AC54" s="244"/>
    </row>
    <row r="55" spans="1:29" ht="54" customHeight="1" x14ac:dyDescent="0.25">
      <c r="A55" s="219"/>
      <c r="B55" s="249">
        <v>40</v>
      </c>
      <c r="C55" s="250" t="s">
        <v>238</v>
      </c>
      <c r="D55" s="250" t="s">
        <v>1389</v>
      </c>
      <c r="E55" s="436" t="s">
        <v>901</v>
      </c>
      <c r="F55" s="437"/>
      <c r="G55" s="437"/>
      <c r="H55" s="437"/>
      <c r="I55" s="438"/>
      <c r="J55" s="244"/>
      <c r="K55" s="244"/>
      <c r="L55" s="244"/>
      <c r="M55" s="244"/>
      <c r="N55" s="244"/>
      <c r="O55" s="244"/>
      <c r="P55" s="244"/>
      <c r="Q55" s="244"/>
      <c r="R55" s="244"/>
      <c r="S55" s="244"/>
      <c r="T55" s="244"/>
      <c r="U55" s="244"/>
      <c r="V55" s="244"/>
      <c r="W55" s="244"/>
      <c r="X55" s="244"/>
      <c r="Y55" s="244"/>
      <c r="Z55" s="244"/>
      <c r="AA55" s="244"/>
      <c r="AB55" s="244"/>
      <c r="AC55" s="244"/>
    </row>
    <row r="56" spans="1:29" ht="54" customHeight="1" x14ac:dyDescent="0.25">
      <c r="A56" s="219"/>
      <c r="B56" s="249">
        <v>41</v>
      </c>
      <c r="C56" s="250" t="s">
        <v>243</v>
      </c>
      <c r="D56" s="274" t="s">
        <v>1390</v>
      </c>
      <c r="E56" s="436" t="s">
        <v>901</v>
      </c>
      <c r="F56" s="437"/>
      <c r="G56" s="437"/>
      <c r="H56" s="437"/>
      <c r="I56" s="438"/>
      <c r="J56" s="244"/>
      <c r="K56" s="244"/>
      <c r="L56" s="244"/>
      <c r="M56" s="244"/>
      <c r="N56" s="244"/>
      <c r="O56" s="244"/>
      <c r="P56" s="244"/>
      <c r="Q56" s="244"/>
      <c r="R56" s="244"/>
      <c r="S56" s="244"/>
      <c r="T56" s="244"/>
      <c r="U56" s="244"/>
      <c r="V56" s="244"/>
      <c r="W56" s="244"/>
      <c r="X56" s="244"/>
      <c r="Y56" s="244"/>
      <c r="Z56" s="244"/>
      <c r="AA56" s="244"/>
      <c r="AB56" s="244"/>
      <c r="AC56" s="244"/>
    </row>
    <row r="57" spans="1:29" ht="54" customHeight="1" x14ac:dyDescent="0.25">
      <c r="A57" s="219"/>
      <c r="B57" s="249">
        <v>42</v>
      </c>
      <c r="C57" s="250" t="s">
        <v>832</v>
      </c>
      <c r="D57" s="274" t="s">
        <v>944</v>
      </c>
      <c r="E57" s="436" t="s">
        <v>898</v>
      </c>
      <c r="F57" s="437"/>
      <c r="G57" s="437"/>
      <c r="H57" s="437"/>
      <c r="I57" s="438"/>
      <c r="J57" s="244"/>
      <c r="K57" s="244"/>
      <c r="L57" s="244"/>
      <c r="M57" s="244"/>
      <c r="N57" s="244"/>
      <c r="O57" s="244"/>
      <c r="P57" s="244"/>
      <c r="Q57" s="244"/>
      <c r="R57" s="244"/>
      <c r="S57" s="244"/>
      <c r="T57" s="244"/>
      <c r="U57" s="244"/>
      <c r="V57" s="244"/>
      <c r="W57" s="244"/>
      <c r="X57" s="244"/>
      <c r="Y57" s="244"/>
      <c r="Z57" s="244"/>
      <c r="AA57" s="244"/>
      <c r="AB57" s="244"/>
      <c r="AC57" s="244"/>
    </row>
    <row r="58" spans="1:29" ht="54" customHeight="1" x14ac:dyDescent="0.25">
      <c r="A58" s="219"/>
      <c r="B58" s="249">
        <v>43</v>
      </c>
      <c r="C58" s="250" t="s">
        <v>583</v>
      </c>
      <c r="D58" s="274" t="s">
        <v>1391</v>
      </c>
      <c r="E58" s="436" t="s">
        <v>926</v>
      </c>
      <c r="F58" s="437"/>
      <c r="G58" s="437"/>
      <c r="H58" s="437"/>
      <c r="I58" s="438"/>
      <c r="J58" s="244"/>
      <c r="K58" s="244"/>
      <c r="L58" s="244"/>
      <c r="M58" s="244"/>
      <c r="N58" s="244"/>
      <c r="O58" s="244"/>
      <c r="P58" s="244"/>
      <c r="Q58" s="244"/>
      <c r="R58" s="244"/>
      <c r="S58" s="244"/>
      <c r="T58" s="244"/>
      <c r="U58" s="244"/>
      <c r="V58" s="244"/>
      <c r="W58" s="244"/>
      <c r="X58" s="244"/>
      <c r="Y58" s="244"/>
      <c r="Z58" s="244"/>
      <c r="AA58" s="244"/>
      <c r="AB58" s="244"/>
      <c r="AC58" s="244"/>
    </row>
    <row r="59" spans="1:29" ht="54" customHeight="1" x14ac:dyDescent="0.25">
      <c r="A59" s="219"/>
      <c r="B59" s="249">
        <v>44</v>
      </c>
      <c r="C59" s="250" t="s">
        <v>964</v>
      </c>
      <c r="D59" s="274" t="s">
        <v>1392</v>
      </c>
      <c r="E59" s="436" t="s">
        <v>898</v>
      </c>
      <c r="F59" s="437"/>
      <c r="G59" s="437"/>
      <c r="H59" s="437"/>
      <c r="I59" s="438"/>
      <c r="J59" s="244"/>
      <c r="K59" s="244"/>
      <c r="L59" s="244"/>
      <c r="M59" s="244"/>
      <c r="N59" s="244"/>
      <c r="O59" s="244"/>
      <c r="P59" s="244"/>
      <c r="Q59" s="244"/>
      <c r="R59" s="244"/>
      <c r="S59" s="244"/>
      <c r="T59" s="244"/>
      <c r="U59" s="244"/>
      <c r="V59" s="244"/>
      <c r="W59" s="244"/>
      <c r="X59" s="244"/>
      <c r="Y59" s="244"/>
      <c r="Z59" s="244"/>
      <c r="AA59" s="244"/>
      <c r="AB59" s="244"/>
      <c r="AC59" s="244"/>
    </row>
    <row r="60" spans="1:29" ht="54" customHeight="1" x14ac:dyDescent="0.25">
      <c r="A60" s="219"/>
      <c r="B60" s="249">
        <v>45</v>
      </c>
      <c r="C60" s="250" t="s">
        <v>836</v>
      </c>
      <c r="D60" s="274" t="s">
        <v>945</v>
      </c>
      <c r="E60" s="436" t="s">
        <v>898</v>
      </c>
      <c r="F60" s="437"/>
      <c r="G60" s="437"/>
      <c r="H60" s="437"/>
      <c r="I60" s="438"/>
      <c r="J60" s="244"/>
      <c r="K60" s="244"/>
      <c r="L60" s="244"/>
      <c r="M60" s="244"/>
      <c r="N60" s="244"/>
      <c r="O60" s="244"/>
      <c r="P60" s="244"/>
      <c r="Q60" s="244"/>
      <c r="R60" s="244"/>
      <c r="S60" s="244"/>
      <c r="T60" s="244"/>
      <c r="U60" s="244"/>
      <c r="V60" s="244"/>
      <c r="W60" s="244"/>
      <c r="X60" s="244"/>
      <c r="Y60" s="244"/>
      <c r="Z60" s="244"/>
      <c r="AA60" s="244"/>
      <c r="AB60" s="244"/>
      <c r="AC60" s="244"/>
    </row>
    <row r="61" spans="1:29" ht="54" customHeight="1" x14ac:dyDescent="0.25">
      <c r="A61" s="219"/>
      <c r="B61" s="249">
        <v>46</v>
      </c>
      <c r="C61" s="250" t="s">
        <v>838</v>
      </c>
      <c r="D61" s="274" t="s">
        <v>1393</v>
      </c>
      <c r="E61" s="436" t="s">
        <v>901</v>
      </c>
      <c r="F61" s="437"/>
      <c r="G61" s="437"/>
      <c r="H61" s="437"/>
      <c r="I61" s="438"/>
      <c r="J61" s="244"/>
      <c r="K61" s="244"/>
      <c r="L61" s="244"/>
      <c r="M61" s="244"/>
      <c r="N61" s="244"/>
      <c r="O61" s="244"/>
      <c r="P61" s="244"/>
      <c r="Q61" s="244"/>
      <c r="R61" s="244"/>
      <c r="S61" s="244"/>
      <c r="T61" s="244"/>
      <c r="U61" s="244"/>
      <c r="V61" s="244"/>
      <c r="W61" s="244"/>
      <c r="X61" s="244"/>
      <c r="Y61" s="244"/>
      <c r="Z61" s="244"/>
      <c r="AA61" s="244"/>
      <c r="AB61" s="244"/>
      <c r="AC61" s="244"/>
    </row>
    <row r="62" spans="1:29" ht="54" customHeight="1" x14ac:dyDescent="0.25">
      <c r="A62" s="219"/>
      <c r="B62" s="249">
        <v>47</v>
      </c>
      <c r="C62" s="250" t="s">
        <v>579</v>
      </c>
      <c r="D62" s="274" t="s">
        <v>1394</v>
      </c>
      <c r="E62" s="436" t="s">
        <v>898</v>
      </c>
      <c r="F62" s="437"/>
      <c r="G62" s="437"/>
      <c r="H62" s="437"/>
      <c r="I62" s="438"/>
      <c r="J62" s="244"/>
      <c r="K62" s="244"/>
      <c r="L62" s="244"/>
      <c r="M62" s="244"/>
      <c r="N62" s="244"/>
      <c r="O62" s="244"/>
      <c r="P62" s="244"/>
      <c r="Q62" s="244"/>
      <c r="R62" s="244"/>
      <c r="S62" s="244"/>
      <c r="T62" s="244"/>
      <c r="U62" s="244"/>
      <c r="V62" s="244"/>
      <c r="W62" s="244"/>
      <c r="X62" s="244"/>
      <c r="Y62" s="244"/>
      <c r="Z62" s="244"/>
      <c r="AA62" s="244"/>
      <c r="AB62" s="244"/>
      <c r="AC62" s="244"/>
    </row>
    <row r="63" spans="1:29" ht="54" customHeight="1" x14ac:dyDescent="0.25">
      <c r="A63" s="219"/>
      <c r="B63" s="249">
        <v>48</v>
      </c>
      <c r="C63" s="250" t="s">
        <v>840</v>
      </c>
      <c r="D63" s="275" t="s">
        <v>946</v>
      </c>
      <c r="E63" s="436" t="s">
        <v>898</v>
      </c>
      <c r="F63" s="437"/>
      <c r="G63" s="437"/>
      <c r="H63" s="437"/>
      <c r="I63" s="438"/>
      <c r="J63" s="244"/>
      <c r="K63" s="244"/>
      <c r="L63" s="244"/>
      <c r="M63" s="244"/>
      <c r="N63" s="244"/>
      <c r="O63" s="244"/>
      <c r="P63" s="244"/>
      <c r="Q63" s="244"/>
      <c r="R63" s="244"/>
      <c r="S63" s="244"/>
      <c r="T63" s="244"/>
      <c r="U63" s="244"/>
      <c r="V63" s="244"/>
      <c r="W63" s="244"/>
      <c r="X63" s="244"/>
      <c r="Y63" s="244"/>
      <c r="Z63" s="244"/>
      <c r="AA63" s="244"/>
      <c r="AB63" s="244"/>
      <c r="AC63" s="244"/>
    </row>
    <row r="64" spans="1:29" ht="54" customHeight="1" x14ac:dyDescent="0.25">
      <c r="A64" s="219"/>
      <c r="B64" s="249">
        <v>49</v>
      </c>
      <c r="C64" s="250" t="s">
        <v>257</v>
      </c>
      <c r="D64" s="250" t="s">
        <v>1395</v>
      </c>
      <c r="E64" s="436" t="s">
        <v>901</v>
      </c>
      <c r="F64" s="437"/>
      <c r="G64" s="437"/>
      <c r="H64" s="437"/>
      <c r="I64" s="438"/>
      <c r="J64" s="244"/>
      <c r="K64" s="244"/>
      <c r="L64" s="244"/>
      <c r="M64" s="244"/>
      <c r="N64" s="244"/>
      <c r="O64" s="244"/>
      <c r="P64" s="244"/>
      <c r="Q64" s="244"/>
      <c r="R64" s="244"/>
      <c r="S64" s="244"/>
      <c r="T64" s="244"/>
      <c r="U64" s="244"/>
      <c r="V64" s="244"/>
      <c r="W64" s="244"/>
      <c r="X64" s="244"/>
      <c r="Y64" s="244"/>
      <c r="Z64" s="244"/>
      <c r="AA64" s="244"/>
      <c r="AB64" s="244"/>
      <c r="AC64" s="244"/>
    </row>
    <row r="65" spans="1:29" ht="54" customHeight="1" x14ac:dyDescent="0.25">
      <c r="A65" s="219"/>
      <c r="B65" s="249">
        <v>50</v>
      </c>
      <c r="C65" s="250" t="s">
        <v>842</v>
      </c>
      <c r="D65" s="250" t="s">
        <v>947</v>
      </c>
      <c r="E65" s="436" t="s">
        <v>901</v>
      </c>
      <c r="F65" s="437"/>
      <c r="G65" s="437"/>
      <c r="H65" s="437"/>
      <c r="I65" s="438"/>
      <c r="J65" s="244"/>
      <c r="K65" s="244"/>
      <c r="L65" s="244"/>
      <c r="M65" s="244"/>
      <c r="N65" s="244"/>
      <c r="O65" s="244"/>
      <c r="P65" s="244"/>
      <c r="Q65" s="244"/>
      <c r="R65" s="244"/>
      <c r="S65" s="244"/>
      <c r="T65" s="244"/>
      <c r="U65" s="244"/>
      <c r="V65" s="244"/>
      <c r="W65" s="244"/>
      <c r="X65" s="244"/>
      <c r="Y65" s="244"/>
      <c r="Z65" s="244"/>
      <c r="AA65" s="244"/>
      <c r="AB65" s="244"/>
      <c r="AC65" s="244"/>
    </row>
    <row r="66" spans="1:29" ht="54" customHeight="1" x14ac:dyDescent="0.25">
      <c r="A66" s="219"/>
      <c r="B66" s="249">
        <v>51</v>
      </c>
      <c r="C66" s="250" t="s">
        <v>259</v>
      </c>
      <c r="D66" s="274" t="s">
        <v>1396</v>
      </c>
      <c r="E66" s="436" t="s">
        <v>901</v>
      </c>
      <c r="F66" s="437"/>
      <c r="G66" s="437"/>
      <c r="H66" s="437"/>
      <c r="I66" s="438"/>
      <c r="J66" s="244"/>
      <c r="K66" s="244"/>
      <c r="L66" s="244"/>
      <c r="M66" s="244"/>
      <c r="N66" s="244"/>
      <c r="O66" s="244"/>
      <c r="P66" s="244"/>
      <c r="Q66" s="244"/>
      <c r="R66" s="244"/>
      <c r="S66" s="244"/>
      <c r="T66" s="244"/>
      <c r="U66" s="244"/>
      <c r="V66" s="244"/>
      <c r="W66" s="244"/>
      <c r="X66" s="244"/>
      <c r="Y66" s="244"/>
      <c r="Z66" s="244"/>
      <c r="AA66" s="244"/>
      <c r="AB66" s="244"/>
      <c r="AC66" s="244"/>
    </row>
    <row r="67" spans="1:29" ht="54" customHeight="1" x14ac:dyDescent="0.25">
      <c r="A67" s="219"/>
      <c r="B67" s="249">
        <v>52</v>
      </c>
      <c r="C67" s="250" t="s">
        <v>264</v>
      </c>
      <c r="D67" s="275" t="s">
        <v>1397</v>
      </c>
      <c r="E67" s="436" t="s">
        <v>901</v>
      </c>
      <c r="F67" s="437"/>
      <c r="G67" s="437"/>
      <c r="H67" s="437"/>
      <c r="I67" s="438"/>
      <c r="J67" s="244"/>
      <c r="K67" s="244"/>
      <c r="L67" s="244"/>
      <c r="M67" s="244"/>
      <c r="N67" s="244"/>
      <c r="O67" s="244"/>
      <c r="P67" s="244"/>
      <c r="Q67" s="244"/>
      <c r="R67" s="244"/>
      <c r="S67" s="244"/>
      <c r="T67" s="244"/>
      <c r="U67" s="244"/>
      <c r="V67" s="244"/>
      <c r="W67" s="244"/>
      <c r="X67" s="244"/>
      <c r="Y67" s="244"/>
      <c r="Z67" s="244"/>
      <c r="AA67" s="244"/>
      <c r="AB67" s="244"/>
      <c r="AC67" s="244"/>
    </row>
    <row r="68" spans="1:29" ht="54" customHeight="1" x14ac:dyDescent="0.25">
      <c r="A68" s="219"/>
      <c r="B68" s="249">
        <v>53</v>
      </c>
      <c r="C68" s="250" t="s">
        <v>266</v>
      </c>
      <c r="D68" s="274" t="s">
        <v>1384</v>
      </c>
      <c r="E68" s="436" t="s">
        <v>901</v>
      </c>
      <c r="F68" s="437"/>
      <c r="G68" s="437"/>
      <c r="H68" s="437"/>
      <c r="I68" s="438"/>
      <c r="J68" s="244"/>
      <c r="K68" s="244"/>
      <c r="L68" s="244"/>
      <c r="M68" s="244"/>
      <c r="N68" s="244"/>
      <c r="O68" s="244"/>
      <c r="P68" s="244"/>
      <c r="Q68" s="244"/>
      <c r="R68" s="244"/>
      <c r="S68" s="244"/>
      <c r="T68" s="244"/>
      <c r="U68" s="244"/>
      <c r="V68" s="244"/>
      <c r="W68" s="244"/>
      <c r="X68" s="244"/>
      <c r="Y68" s="244"/>
      <c r="Z68" s="244"/>
      <c r="AA68" s="244"/>
      <c r="AB68" s="244"/>
      <c r="AC68" s="244"/>
    </row>
    <row r="69" spans="1:29" ht="54" customHeight="1" x14ac:dyDescent="0.25">
      <c r="A69" s="219"/>
      <c r="B69" s="249">
        <v>54</v>
      </c>
      <c r="C69" s="250" t="s">
        <v>1469</v>
      </c>
      <c r="D69" s="274" t="s">
        <v>1609</v>
      </c>
      <c r="E69" s="436" t="s">
        <v>926</v>
      </c>
      <c r="F69" s="437"/>
      <c r="G69" s="437"/>
      <c r="H69" s="437"/>
      <c r="I69" s="438"/>
      <c r="J69" s="244"/>
      <c r="K69" s="244"/>
      <c r="L69" s="244"/>
      <c r="M69" s="244"/>
      <c r="N69" s="244"/>
      <c r="O69" s="244"/>
      <c r="P69" s="244"/>
      <c r="Q69" s="244"/>
      <c r="R69" s="244"/>
      <c r="S69" s="244"/>
      <c r="T69" s="244"/>
      <c r="U69" s="244"/>
      <c r="V69" s="244"/>
      <c r="W69" s="244"/>
      <c r="X69" s="244"/>
      <c r="Y69" s="244"/>
      <c r="Z69" s="244"/>
      <c r="AA69" s="244"/>
      <c r="AB69" s="244"/>
      <c r="AC69" s="244"/>
    </row>
    <row r="70" spans="1:29" ht="54" customHeight="1" x14ac:dyDescent="0.25">
      <c r="A70" s="219"/>
      <c r="B70" s="249">
        <v>54</v>
      </c>
      <c r="C70" s="250" t="s">
        <v>580</v>
      </c>
      <c r="D70" s="274" t="s">
        <v>1371</v>
      </c>
      <c r="E70" s="436" t="s">
        <v>937</v>
      </c>
      <c r="F70" s="437"/>
      <c r="G70" s="437"/>
      <c r="H70" s="437"/>
      <c r="I70" s="438"/>
      <c r="J70" s="244"/>
      <c r="K70" s="244"/>
      <c r="L70" s="244"/>
      <c r="M70" s="244"/>
      <c r="N70" s="244"/>
      <c r="O70" s="244"/>
      <c r="P70" s="244"/>
      <c r="Q70" s="244"/>
      <c r="R70" s="244"/>
      <c r="S70" s="244"/>
      <c r="T70" s="244"/>
      <c r="U70" s="244"/>
      <c r="V70" s="244"/>
      <c r="W70" s="244"/>
      <c r="X70" s="244"/>
      <c r="Y70" s="244"/>
      <c r="Z70" s="244"/>
      <c r="AA70" s="244"/>
      <c r="AB70" s="244"/>
      <c r="AC70" s="244"/>
    </row>
    <row r="71" spans="1:29" ht="54" customHeight="1" x14ac:dyDescent="0.25">
      <c r="A71" s="219"/>
      <c r="B71" s="249">
        <v>55</v>
      </c>
      <c r="C71" s="250" t="s">
        <v>867</v>
      </c>
      <c r="D71" s="274" t="s">
        <v>948</v>
      </c>
      <c r="E71" s="436" t="s">
        <v>902</v>
      </c>
      <c r="F71" s="437"/>
      <c r="G71" s="437"/>
      <c r="H71" s="437"/>
      <c r="I71" s="438"/>
      <c r="J71" s="244"/>
      <c r="K71" s="244"/>
      <c r="L71" s="244"/>
      <c r="M71" s="244"/>
      <c r="N71" s="244"/>
      <c r="O71" s="244"/>
      <c r="P71" s="244"/>
      <c r="Q71" s="244"/>
      <c r="R71" s="244"/>
      <c r="S71" s="244"/>
      <c r="T71" s="244"/>
      <c r="U71" s="244"/>
      <c r="V71" s="244"/>
      <c r="W71" s="244"/>
      <c r="X71" s="244"/>
      <c r="Y71" s="244"/>
      <c r="Z71" s="244"/>
      <c r="AA71" s="244"/>
      <c r="AB71" s="244"/>
      <c r="AC71" s="244"/>
    </row>
    <row r="72" spans="1:29" ht="54" customHeight="1" x14ac:dyDescent="0.25">
      <c r="A72" s="219"/>
      <c r="B72" s="249">
        <v>56</v>
      </c>
      <c r="C72" s="250" t="s">
        <v>848</v>
      </c>
      <c r="D72" s="274" t="s">
        <v>949</v>
      </c>
      <c r="E72" s="436" t="s">
        <v>900</v>
      </c>
      <c r="F72" s="437"/>
      <c r="G72" s="437"/>
      <c r="H72" s="437"/>
      <c r="I72" s="438"/>
      <c r="J72" s="244"/>
      <c r="K72" s="244"/>
      <c r="L72" s="244"/>
      <c r="M72" s="244"/>
      <c r="N72" s="244"/>
      <c r="O72" s="244"/>
      <c r="P72" s="244"/>
      <c r="Q72" s="244"/>
      <c r="R72" s="244"/>
      <c r="S72" s="244"/>
      <c r="T72" s="244"/>
      <c r="U72" s="244"/>
      <c r="V72" s="244"/>
      <c r="W72" s="244"/>
      <c r="X72" s="244"/>
      <c r="Y72" s="244"/>
      <c r="Z72" s="244"/>
      <c r="AA72" s="244"/>
      <c r="AB72" s="244"/>
      <c r="AC72" s="244"/>
    </row>
    <row r="73" spans="1:29" ht="54" customHeight="1" x14ac:dyDescent="0.25">
      <c r="A73" s="219"/>
      <c r="B73" s="249">
        <v>57</v>
      </c>
      <c r="C73" s="250" t="s">
        <v>850</v>
      </c>
      <c r="D73" s="250" t="s">
        <v>950</v>
      </c>
      <c r="E73" s="436" t="s">
        <v>898</v>
      </c>
      <c r="F73" s="437"/>
      <c r="G73" s="437"/>
      <c r="H73" s="437"/>
      <c r="I73" s="438"/>
      <c r="J73" s="244"/>
      <c r="K73" s="244"/>
      <c r="L73" s="244"/>
      <c r="M73" s="244"/>
      <c r="N73" s="244"/>
      <c r="O73" s="244"/>
      <c r="P73" s="244"/>
      <c r="Q73" s="244"/>
      <c r="R73" s="244"/>
      <c r="S73" s="244"/>
      <c r="T73" s="244"/>
      <c r="U73" s="244"/>
      <c r="V73" s="244"/>
      <c r="W73" s="244"/>
      <c r="X73" s="244"/>
      <c r="Y73" s="244"/>
      <c r="Z73" s="244"/>
      <c r="AA73" s="244"/>
      <c r="AB73" s="244"/>
      <c r="AC73" s="244"/>
    </row>
    <row r="74" spans="1:29" ht="54" customHeight="1" x14ac:dyDescent="0.25">
      <c r="A74" s="219"/>
      <c r="B74" s="249">
        <v>59</v>
      </c>
      <c r="C74" s="250" t="s">
        <v>852</v>
      </c>
      <c r="D74" s="274" t="s">
        <v>1372</v>
      </c>
      <c r="E74" s="436" t="s">
        <v>938</v>
      </c>
      <c r="F74" s="437"/>
      <c r="G74" s="437"/>
      <c r="H74" s="437"/>
      <c r="I74" s="438"/>
      <c r="J74" s="244"/>
      <c r="K74" s="244"/>
      <c r="L74" s="244"/>
      <c r="M74" s="244"/>
      <c r="N74" s="244"/>
      <c r="O74" s="244"/>
      <c r="P74" s="244"/>
      <c r="Q74" s="244"/>
      <c r="R74" s="244"/>
      <c r="S74" s="244"/>
      <c r="T74" s="244"/>
      <c r="U74" s="244"/>
      <c r="V74" s="244"/>
      <c r="W74" s="244"/>
      <c r="X74" s="244"/>
      <c r="Y74" s="244"/>
      <c r="Z74" s="244"/>
      <c r="AA74" s="244"/>
      <c r="AB74" s="244"/>
      <c r="AC74" s="244"/>
    </row>
    <row r="75" spans="1:29" ht="54" customHeight="1" x14ac:dyDescent="0.25">
      <c r="A75" s="219"/>
      <c r="B75" s="249">
        <v>60</v>
      </c>
      <c r="C75" s="250" t="s">
        <v>1097</v>
      </c>
      <c r="D75" s="250" t="s">
        <v>1398</v>
      </c>
      <c r="E75" s="436" t="s">
        <v>898</v>
      </c>
      <c r="F75" s="437"/>
      <c r="G75" s="437"/>
      <c r="H75" s="437"/>
      <c r="I75" s="438"/>
      <c r="J75" s="244"/>
      <c r="K75" s="244"/>
      <c r="L75" s="244"/>
      <c r="M75" s="244"/>
      <c r="N75" s="244"/>
      <c r="O75" s="244"/>
      <c r="P75" s="244"/>
      <c r="Q75" s="244"/>
      <c r="R75" s="244"/>
      <c r="S75" s="244"/>
      <c r="T75" s="244"/>
      <c r="U75" s="244"/>
      <c r="V75" s="244"/>
      <c r="W75" s="244"/>
      <c r="X75" s="244"/>
      <c r="Y75" s="244"/>
      <c r="Z75" s="244"/>
      <c r="AA75" s="244"/>
      <c r="AB75" s="244"/>
      <c r="AC75" s="244"/>
    </row>
    <row r="76" spans="1:29" ht="54" customHeight="1" x14ac:dyDescent="0.25">
      <c r="A76" s="219"/>
      <c r="B76" s="249">
        <v>61</v>
      </c>
      <c r="C76" s="250" t="s">
        <v>1478</v>
      </c>
      <c r="D76" s="250" t="s">
        <v>1610</v>
      </c>
      <c r="E76" s="436" t="s">
        <v>898</v>
      </c>
      <c r="F76" s="437"/>
      <c r="G76" s="437"/>
      <c r="H76" s="437"/>
      <c r="I76" s="438"/>
      <c r="J76" s="244"/>
      <c r="K76" s="244"/>
      <c r="L76" s="244"/>
      <c r="M76" s="244"/>
      <c r="N76" s="244"/>
      <c r="O76" s="244"/>
      <c r="P76" s="244"/>
      <c r="Q76" s="244"/>
      <c r="R76" s="244"/>
      <c r="S76" s="244"/>
      <c r="T76" s="244"/>
      <c r="U76" s="244"/>
      <c r="V76" s="244"/>
      <c r="W76" s="244"/>
      <c r="X76" s="244"/>
      <c r="Y76" s="244"/>
      <c r="Z76" s="244"/>
      <c r="AA76" s="244"/>
      <c r="AB76" s="244"/>
      <c r="AC76" s="244"/>
    </row>
    <row r="77" spans="1:29" ht="54" customHeight="1" x14ac:dyDescent="0.25">
      <c r="A77" s="219"/>
      <c r="B77" s="249">
        <v>62</v>
      </c>
      <c r="C77" s="250" t="s">
        <v>1482</v>
      </c>
      <c r="D77" s="274" t="s">
        <v>1611</v>
      </c>
      <c r="E77" s="436" t="s">
        <v>898</v>
      </c>
      <c r="F77" s="437"/>
      <c r="G77" s="437"/>
      <c r="H77" s="437"/>
      <c r="I77" s="438"/>
      <c r="J77" s="244"/>
      <c r="K77" s="244"/>
      <c r="L77" s="244"/>
      <c r="M77" s="244"/>
      <c r="N77" s="244"/>
      <c r="O77" s="244"/>
      <c r="P77" s="244"/>
      <c r="Q77" s="244"/>
      <c r="R77" s="244"/>
      <c r="S77" s="244"/>
      <c r="T77" s="244"/>
      <c r="U77" s="244"/>
      <c r="V77" s="244"/>
      <c r="W77" s="244"/>
      <c r="X77" s="244"/>
      <c r="Y77" s="244"/>
      <c r="Z77" s="244"/>
      <c r="AA77" s="244"/>
      <c r="AB77" s="244"/>
      <c r="AC77" s="244"/>
    </row>
    <row r="78" spans="1:29" ht="54" customHeight="1" x14ac:dyDescent="0.25">
      <c r="A78" s="219"/>
      <c r="B78" s="249">
        <v>63</v>
      </c>
      <c r="C78" s="250" t="s">
        <v>1484</v>
      </c>
      <c r="D78" s="250" t="s">
        <v>1372</v>
      </c>
      <c r="E78" s="436" t="s">
        <v>938</v>
      </c>
      <c r="F78" s="437"/>
      <c r="G78" s="437"/>
      <c r="H78" s="437"/>
      <c r="I78" s="438"/>
      <c r="J78" s="244"/>
      <c r="K78" s="244"/>
      <c r="L78" s="244"/>
      <c r="M78" s="244"/>
      <c r="N78" s="244"/>
      <c r="O78" s="244"/>
      <c r="P78" s="244"/>
      <c r="Q78" s="244"/>
      <c r="R78" s="244"/>
      <c r="S78" s="244"/>
      <c r="T78" s="244"/>
      <c r="U78" s="244"/>
      <c r="V78" s="244"/>
      <c r="W78" s="244"/>
      <c r="X78" s="244"/>
      <c r="Y78" s="244"/>
      <c r="Z78" s="244"/>
      <c r="AA78" s="244"/>
      <c r="AB78" s="244"/>
      <c r="AC78" s="244"/>
    </row>
    <row r="79" spans="1:29" ht="54" customHeight="1" x14ac:dyDescent="0.25">
      <c r="A79" s="219"/>
      <c r="B79" s="249">
        <v>64</v>
      </c>
      <c r="C79" s="250" t="s">
        <v>640</v>
      </c>
      <c r="D79" s="274" t="s">
        <v>903</v>
      </c>
      <c r="E79" s="436" t="s">
        <v>898</v>
      </c>
      <c r="F79" s="437"/>
      <c r="G79" s="437"/>
      <c r="H79" s="437"/>
      <c r="I79" s="438"/>
      <c r="J79" s="244"/>
      <c r="K79" s="244"/>
      <c r="L79" s="244"/>
      <c r="M79" s="244"/>
      <c r="N79" s="244"/>
      <c r="O79" s="244"/>
      <c r="P79" s="244"/>
      <c r="Q79" s="244"/>
      <c r="R79" s="244"/>
      <c r="S79" s="244"/>
      <c r="T79" s="244"/>
      <c r="U79" s="244"/>
      <c r="V79" s="244"/>
      <c r="W79" s="244"/>
      <c r="X79" s="244"/>
      <c r="Y79" s="244"/>
      <c r="Z79" s="244"/>
      <c r="AA79" s="244"/>
      <c r="AB79" s="244"/>
      <c r="AC79" s="244"/>
    </row>
    <row r="80" spans="1:29" ht="54" customHeight="1" x14ac:dyDescent="0.25">
      <c r="A80" s="219"/>
      <c r="B80" s="249">
        <v>65</v>
      </c>
      <c r="C80" s="250" t="s">
        <v>1102</v>
      </c>
      <c r="D80" s="250" t="s">
        <v>1399</v>
      </c>
      <c r="E80" s="436" t="s">
        <v>901</v>
      </c>
      <c r="F80" s="437"/>
      <c r="G80" s="437"/>
      <c r="H80" s="437"/>
      <c r="I80" s="438"/>
      <c r="J80" s="244"/>
      <c r="K80" s="244"/>
      <c r="L80" s="244"/>
      <c r="M80" s="244"/>
      <c r="N80" s="244"/>
      <c r="O80" s="244"/>
      <c r="P80" s="244"/>
      <c r="Q80" s="244"/>
      <c r="R80" s="244"/>
      <c r="S80" s="244"/>
      <c r="T80" s="244"/>
      <c r="U80" s="244"/>
      <c r="V80" s="244"/>
      <c r="W80" s="244"/>
      <c r="X80" s="244"/>
      <c r="Y80" s="244"/>
      <c r="Z80" s="244"/>
      <c r="AA80" s="244"/>
      <c r="AB80" s="244"/>
      <c r="AC80" s="244"/>
    </row>
    <row r="81" spans="1:29" ht="54" customHeight="1" x14ac:dyDescent="0.25">
      <c r="A81" s="219"/>
      <c r="B81" s="249">
        <v>66</v>
      </c>
      <c r="C81" s="250" t="s">
        <v>656</v>
      </c>
      <c r="D81" s="274" t="s">
        <v>904</v>
      </c>
      <c r="E81" s="436" t="s">
        <v>898</v>
      </c>
      <c r="F81" s="437"/>
      <c r="G81" s="437"/>
      <c r="H81" s="437"/>
      <c r="I81" s="438"/>
      <c r="J81" s="244"/>
      <c r="K81" s="244"/>
      <c r="L81" s="244"/>
      <c r="M81" s="244"/>
      <c r="N81" s="244"/>
      <c r="O81" s="244"/>
      <c r="P81" s="244"/>
      <c r="Q81" s="244"/>
      <c r="R81" s="244"/>
      <c r="S81" s="244"/>
      <c r="T81" s="244"/>
      <c r="U81" s="244"/>
      <c r="V81" s="244"/>
      <c r="W81" s="244"/>
      <c r="X81" s="244"/>
      <c r="Y81" s="244"/>
      <c r="Z81" s="244"/>
      <c r="AA81" s="244"/>
      <c r="AB81" s="244"/>
      <c r="AC81" s="244"/>
    </row>
    <row r="82" spans="1:29" ht="54" customHeight="1" x14ac:dyDescent="0.25">
      <c r="A82" s="219"/>
      <c r="B82" s="249">
        <v>67</v>
      </c>
      <c r="C82" s="250" t="s">
        <v>657</v>
      </c>
      <c r="D82" s="274" t="s">
        <v>905</v>
      </c>
      <c r="E82" s="436" t="s">
        <v>898</v>
      </c>
      <c r="F82" s="437"/>
      <c r="G82" s="437"/>
      <c r="H82" s="437"/>
      <c r="I82" s="438"/>
      <c r="J82" s="244"/>
      <c r="K82" s="244"/>
      <c r="L82" s="244"/>
      <c r="M82" s="244"/>
      <c r="N82" s="244"/>
      <c r="O82" s="244"/>
      <c r="P82" s="244"/>
      <c r="Q82" s="244"/>
      <c r="R82" s="244"/>
      <c r="S82" s="244"/>
      <c r="T82" s="244"/>
      <c r="U82" s="244"/>
      <c r="V82" s="244"/>
      <c r="W82" s="244"/>
      <c r="X82" s="244"/>
      <c r="Y82" s="244"/>
      <c r="Z82" s="244"/>
      <c r="AA82" s="244"/>
      <c r="AB82" s="244"/>
      <c r="AC82" s="244"/>
    </row>
    <row r="83" spans="1:29" ht="54" customHeight="1" x14ac:dyDescent="0.25">
      <c r="A83" s="219"/>
      <c r="B83" s="249">
        <v>68</v>
      </c>
      <c r="C83" s="250" t="s">
        <v>658</v>
      </c>
      <c r="D83" s="274" t="s">
        <v>906</v>
      </c>
      <c r="E83" s="436" t="s">
        <v>898</v>
      </c>
      <c r="F83" s="437"/>
      <c r="G83" s="437"/>
      <c r="H83" s="437"/>
      <c r="I83" s="438"/>
      <c r="J83" s="244"/>
      <c r="K83" s="244"/>
      <c r="L83" s="244"/>
      <c r="M83" s="244"/>
      <c r="N83" s="244"/>
      <c r="O83" s="244"/>
      <c r="P83" s="244"/>
      <c r="Q83" s="244"/>
      <c r="R83" s="244"/>
      <c r="S83" s="244"/>
      <c r="T83" s="244"/>
      <c r="U83" s="244"/>
      <c r="V83" s="244"/>
      <c r="W83" s="244"/>
      <c r="X83" s="244"/>
      <c r="Y83" s="244"/>
      <c r="Z83" s="244"/>
      <c r="AA83" s="244"/>
      <c r="AB83" s="244"/>
      <c r="AC83" s="244"/>
    </row>
    <row r="84" spans="1:29" ht="54" customHeight="1" x14ac:dyDescent="0.25">
      <c r="A84" s="219"/>
      <c r="B84" s="249">
        <v>69</v>
      </c>
      <c r="C84" s="250" t="s">
        <v>659</v>
      </c>
      <c r="D84" s="250" t="s">
        <v>907</v>
      </c>
      <c r="E84" s="436" t="s">
        <v>898</v>
      </c>
      <c r="F84" s="437"/>
      <c r="G84" s="437"/>
      <c r="H84" s="437"/>
      <c r="I84" s="438"/>
      <c r="J84" s="244"/>
      <c r="K84" s="244"/>
      <c r="L84" s="244"/>
      <c r="M84" s="244"/>
      <c r="N84" s="244"/>
      <c r="O84" s="244"/>
      <c r="P84" s="244"/>
      <c r="Q84" s="244"/>
      <c r="R84" s="244"/>
      <c r="S84" s="244"/>
      <c r="T84" s="244"/>
      <c r="U84" s="244"/>
      <c r="V84" s="244"/>
      <c r="W84" s="244"/>
      <c r="X84" s="244"/>
      <c r="Y84" s="244"/>
      <c r="Z84" s="244"/>
      <c r="AA84" s="244"/>
      <c r="AB84" s="244"/>
      <c r="AC84" s="244"/>
    </row>
    <row r="85" spans="1:29" ht="54" customHeight="1" x14ac:dyDescent="0.25">
      <c r="A85" s="219"/>
      <c r="B85" s="249">
        <v>70</v>
      </c>
      <c r="C85" s="250" t="s">
        <v>660</v>
      </c>
      <c r="D85" s="274" t="s">
        <v>909</v>
      </c>
      <c r="E85" s="436" t="s">
        <v>898</v>
      </c>
      <c r="F85" s="437"/>
      <c r="G85" s="437"/>
      <c r="H85" s="437"/>
      <c r="I85" s="438"/>
      <c r="J85" s="244"/>
      <c r="K85" s="244"/>
      <c r="L85" s="244"/>
      <c r="M85" s="244"/>
      <c r="N85" s="244"/>
      <c r="O85" s="244"/>
      <c r="P85" s="244"/>
      <c r="Q85" s="244"/>
      <c r="R85" s="244"/>
      <c r="S85" s="244"/>
      <c r="T85" s="244"/>
      <c r="U85" s="244"/>
      <c r="V85" s="244"/>
      <c r="W85" s="244"/>
      <c r="X85" s="244"/>
      <c r="Y85" s="244"/>
      <c r="Z85" s="244"/>
      <c r="AA85" s="244"/>
      <c r="AB85" s="244"/>
      <c r="AC85" s="244"/>
    </row>
    <row r="86" spans="1:29" ht="54" customHeight="1" x14ac:dyDescent="0.25">
      <c r="A86" s="219"/>
      <c r="B86" s="249">
        <v>71</v>
      </c>
      <c r="C86" s="250" t="s">
        <v>661</v>
      </c>
      <c r="D86" s="250" t="s">
        <v>911</v>
      </c>
      <c r="E86" s="436" t="s">
        <v>898</v>
      </c>
      <c r="F86" s="437"/>
      <c r="G86" s="437"/>
      <c r="H86" s="437"/>
      <c r="I86" s="438"/>
      <c r="J86" s="244"/>
      <c r="K86" s="244"/>
      <c r="L86" s="244"/>
      <c r="M86" s="244"/>
      <c r="N86" s="244"/>
      <c r="O86" s="244"/>
      <c r="P86" s="244"/>
      <c r="Q86" s="244"/>
      <c r="R86" s="244"/>
      <c r="S86" s="244"/>
      <c r="T86" s="244"/>
      <c r="U86" s="244"/>
      <c r="V86" s="244"/>
      <c r="W86" s="244"/>
      <c r="X86" s="244"/>
      <c r="Y86" s="244"/>
      <c r="Z86" s="244"/>
      <c r="AA86" s="244"/>
      <c r="AB86" s="244"/>
      <c r="AC86" s="244"/>
    </row>
    <row r="87" spans="1:29" ht="54" customHeight="1" x14ac:dyDescent="0.25">
      <c r="A87" s="219"/>
      <c r="B87" s="249">
        <v>72</v>
      </c>
      <c r="C87" s="250" t="s">
        <v>662</v>
      </c>
      <c r="D87" s="274" t="s">
        <v>910</v>
      </c>
      <c r="E87" s="436" t="s">
        <v>901</v>
      </c>
      <c r="F87" s="437"/>
      <c r="G87" s="437"/>
      <c r="H87" s="437"/>
      <c r="I87" s="438"/>
      <c r="J87" s="244"/>
      <c r="K87" s="244"/>
      <c r="L87" s="244"/>
      <c r="M87" s="244"/>
      <c r="N87" s="244"/>
      <c r="O87" s="244"/>
      <c r="P87" s="244"/>
      <c r="Q87" s="244"/>
      <c r="R87" s="244"/>
      <c r="S87" s="244"/>
      <c r="T87" s="244"/>
      <c r="U87" s="244"/>
      <c r="V87" s="244"/>
      <c r="W87" s="244"/>
      <c r="X87" s="244"/>
      <c r="Y87" s="244"/>
      <c r="Z87" s="244"/>
      <c r="AA87" s="244"/>
      <c r="AB87" s="244"/>
      <c r="AC87" s="244"/>
    </row>
    <row r="88" spans="1:29" ht="54" customHeight="1" x14ac:dyDescent="0.25">
      <c r="A88" s="219"/>
      <c r="B88" s="249">
        <v>73</v>
      </c>
      <c r="C88" s="250" t="s">
        <v>1490</v>
      </c>
      <c r="D88" s="275" t="s">
        <v>1612</v>
      </c>
      <c r="E88" s="436" t="s">
        <v>901</v>
      </c>
      <c r="F88" s="437"/>
      <c r="G88" s="437"/>
      <c r="H88" s="437"/>
      <c r="I88" s="438"/>
      <c r="J88" s="244"/>
      <c r="K88" s="244"/>
      <c r="L88" s="244"/>
      <c r="M88" s="244"/>
      <c r="N88" s="244"/>
      <c r="O88" s="244"/>
      <c r="P88" s="244"/>
      <c r="Q88" s="244"/>
      <c r="R88" s="244"/>
      <c r="S88" s="244"/>
      <c r="T88" s="244"/>
      <c r="U88" s="244"/>
      <c r="V88" s="244"/>
      <c r="W88" s="244"/>
      <c r="X88" s="244"/>
      <c r="Y88" s="244"/>
      <c r="Z88" s="244"/>
      <c r="AA88" s="244"/>
      <c r="AB88" s="244"/>
      <c r="AC88" s="244"/>
    </row>
    <row r="89" spans="1:29" ht="54" customHeight="1" x14ac:dyDescent="0.25">
      <c r="A89" s="219"/>
      <c r="B89" s="249">
        <v>74</v>
      </c>
      <c r="C89" s="250" t="s">
        <v>856</v>
      </c>
      <c r="D89" s="274" t="s">
        <v>952</v>
      </c>
      <c r="E89" s="436" t="s">
        <v>901</v>
      </c>
      <c r="F89" s="437"/>
      <c r="G89" s="437"/>
      <c r="H89" s="437"/>
      <c r="I89" s="438"/>
      <c r="J89" s="244"/>
      <c r="K89" s="244"/>
      <c r="L89" s="244"/>
      <c r="M89" s="244"/>
      <c r="N89" s="244"/>
      <c r="O89" s="244"/>
      <c r="P89" s="244"/>
      <c r="Q89" s="244"/>
      <c r="R89" s="244"/>
      <c r="S89" s="244"/>
      <c r="T89" s="244"/>
      <c r="U89" s="244"/>
      <c r="V89" s="244"/>
      <c r="W89" s="244"/>
      <c r="X89" s="244"/>
      <c r="Y89" s="244"/>
      <c r="Z89" s="244"/>
      <c r="AA89" s="244"/>
      <c r="AB89" s="244"/>
      <c r="AC89" s="244"/>
    </row>
    <row r="90" spans="1:29" ht="54" customHeight="1" x14ac:dyDescent="0.25">
      <c r="A90" s="219"/>
      <c r="B90" s="249">
        <v>75</v>
      </c>
      <c r="C90" s="250" t="s">
        <v>1110</v>
      </c>
      <c r="D90" s="250" t="s">
        <v>1400</v>
      </c>
      <c r="E90" s="436" t="s">
        <v>900</v>
      </c>
      <c r="F90" s="437"/>
      <c r="G90" s="437"/>
      <c r="H90" s="437"/>
      <c r="I90" s="438"/>
      <c r="J90" s="244"/>
      <c r="K90" s="244"/>
      <c r="L90" s="244"/>
      <c r="M90" s="244"/>
      <c r="N90" s="244"/>
      <c r="O90" s="244"/>
      <c r="P90" s="244"/>
      <c r="Q90" s="244"/>
      <c r="R90" s="244"/>
      <c r="S90" s="244"/>
      <c r="T90" s="244"/>
      <c r="U90" s="244"/>
      <c r="V90" s="244"/>
      <c r="W90" s="244"/>
      <c r="X90" s="244"/>
      <c r="Y90" s="244"/>
      <c r="Z90" s="244"/>
      <c r="AA90" s="244"/>
      <c r="AB90" s="244"/>
      <c r="AC90" s="244"/>
    </row>
    <row r="91" spans="1:29" ht="54" customHeight="1" x14ac:dyDescent="0.25">
      <c r="A91" s="219"/>
      <c r="B91" s="249">
        <v>76</v>
      </c>
      <c r="C91" s="250" t="s">
        <v>656</v>
      </c>
      <c r="D91" s="250" t="s">
        <v>904</v>
      </c>
      <c r="E91" s="436" t="s">
        <v>898</v>
      </c>
      <c r="F91" s="437"/>
      <c r="G91" s="437"/>
      <c r="H91" s="437"/>
      <c r="I91" s="438"/>
      <c r="J91" s="244"/>
      <c r="K91" s="244"/>
      <c r="L91" s="244"/>
      <c r="M91" s="244"/>
      <c r="N91" s="244"/>
      <c r="O91" s="244"/>
      <c r="P91" s="244"/>
      <c r="Q91" s="244"/>
      <c r="R91" s="244"/>
      <c r="S91" s="244"/>
      <c r="T91" s="244"/>
      <c r="U91" s="244"/>
      <c r="V91" s="244"/>
      <c r="W91" s="244"/>
      <c r="X91" s="244"/>
      <c r="Y91" s="244"/>
      <c r="Z91" s="244"/>
      <c r="AA91" s="244"/>
      <c r="AB91" s="244"/>
      <c r="AC91" s="244"/>
    </row>
    <row r="92" spans="1:29" ht="54" customHeight="1" x14ac:dyDescent="0.25">
      <c r="A92" s="219"/>
      <c r="B92" s="249">
        <v>77</v>
      </c>
      <c r="C92" s="250" t="s">
        <v>613</v>
      </c>
      <c r="D92" s="274" t="s">
        <v>908</v>
      </c>
      <c r="E92" s="436" t="s">
        <v>898</v>
      </c>
      <c r="F92" s="437"/>
      <c r="G92" s="437"/>
      <c r="H92" s="437"/>
      <c r="I92" s="438"/>
      <c r="J92" s="244"/>
      <c r="K92" s="244"/>
      <c r="L92" s="244"/>
      <c r="M92" s="244"/>
      <c r="N92" s="244"/>
      <c r="O92" s="244"/>
      <c r="P92" s="244"/>
      <c r="Q92" s="244"/>
      <c r="R92" s="244"/>
      <c r="S92" s="244"/>
      <c r="T92" s="244"/>
      <c r="U92" s="244"/>
      <c r="V92" s="244"/>
      <c r="W92" s="244"/>
      <c r="X92" s="244"/>
      <c r="Y92" s="244"/>
      <c r="Z92" s="244"/>
      <c r="AA92" s="244"/>
      <c r="AB92" s="244"/>
      <c r="AC92" s="244"/>
    </row>
    <row r="93" spans="1:29" ht="54" customHeight="1" x14ac:dyDescent="0.25">
      <c r="A93" s="219"/>
      <c r="B93" s="249">
        <v>78</v>
      </c>
      <c r="C93" s="250" t="s">
        <v>854</v>
      </c>
      <c r="D93" s="250" t="s">
        <v>951</v>
      </c>
      <c r="E93" s="436" t="s">
        <v>898</v>
      </c>
      <c r="F93" s="437"/>
      <c r="G93" s="437"/>
      <c r="H93" s="437"/>
      <c r="I93" s="438"/>
      <c r="J93" s="244"/>
      <c r="K93" s="244"/>
      <c r="L93" s="244"/>
      <c r="M93" s="244"/>
      <c r="N93" s="244"/>
      <c r="O93" s="244"/>
      <c r="P93" s="244"/>
      <c r="Q93" s="244"/>
      <c r="R93" s="244"/>
      <c r="S93" s="244"/>
      <c r="T93" s="244"/>
      <c r="U93" s="244"/>
      <c r="V93" s="244"/>
      <c r="W93" s="244"/>
      <c r="X93" s="244"/>
      <c r="Y93" s="244"/>
      <c r="Z93" s="244"/>
      <c r="AA93" s="244"/>
      <c r="AB93" s="244"/>
      <c r="AC93" s="244"/>
    </row>
    <row r="94" spans="1:29" ht="54" customHeight="1" x14ac:dyDescent="0.25">
      <c r="A94" s="219"/>
      <c r="B94" s="249">
        <v>79</v>
      </c>
      <c r="C94" s="250" t="s">
        <v>1494</v>
      </c>
      <c r="D94" s="274" t="s">
        <v>1373</v>
      </c>
      <c r="E94" s="436" t="s">
        <v>1604</v>
      </c>
      <c r="F94" s="437"/>
      <c r="G94" s="437"/>
      <c r="H94" s="437"/>
      <c r="I94" s="438"/>
      <c r="J94" s="244"/>
      <c r="K94" s="244"/>
      <c r="L94" s="244"/>
      <c r="M94" s="244"/>
      <c r="N94" s="244"/>
      <c r="O94" s="244"/>
      <c r="P94" s="244"/>
      <c r="Q94" s="244"/>
      <c r="R94" s="244"/>
      <c r="S94" s="244"/>
      <c r="T94" s="244"/>
      <c r="U94" s="244"/>
      <c r="V94" s="244"/>
      <c r="W94" s="244"/>
      <c r="X94" s="244"/>
      <c r="Y94" s="244"/>
      <c r="Z94" s="244"/>
      <c r="AA94" s="244"/>
      <c r="AB94" s="244"/>
      <c r="AC94" s="244"/>
    </row>
    <row r="95" spans="1:29" ht="54" customHeight="1" x14ac:dyDescent="0.25">
      <c r="A95" s="219"/>
      <c r="B95" s="249">
        <v>80</v>
      </c>
      <c r="C95" s="250" t="s">
        <v>661</v>
      </c>
      <c r="D95" s="250" t="s">
        <v>911</v>
      </c>
      <c r="E95" s="436" t="s">
        <v>898</v>
      </c>
      <c r="F95" s="437"/>
      <c r="G95" s="437"/>
      <c r="H95" s="437"/>
      <c r="I95" s="438"/>
      <c r="J95" s="244"/>
      <c r="K95" s="244"/>
      <c r="L95" s="244"/>
      <c r="M95" s="244"/>
      <c r="N95" s="244"/>
      <c r="O95" s="244"/>
      <c r="P95" s="244"/>
      <c r="Q95" s="244"/>
      <c r="R95" s="244"/>
      <c r="S95" s="244"/>
      <c r="T95" s="244"/>
      <c r="U95" s="244"/>
      <c r="V95" s="244"/>
      <c r="W95" s="244"/>
      <c r="X95" s="244"/>
      <c r="Y95" s="244"/>
      <c r="Z95" s="244"/>
      <c r="AA95" s="244"/>
      <c r="AB95" s="244"/>
      <c r="AC95" s="244"/>
    </row>
    <row r="96" spans="1:29" ht="54" customHeight="1" x14ac:dyDescent="0.25">
      <c r="A96" s="219"/>
      <c r="B96" s="249">
        <v>81</v>
      </c>
      <c r="C96" s="250" t="s">
        <v>203</v>
      </c>
      <c r="D96" s="250" t="s">
        <v>1401</v>
      </c>
      <c r="E96" s="436" t="s">
        <v>901</v>
      </c>
      <c r="F96" s="437"/>
      <c r="G96" s="437"/>
      <c r="H96" s="437"/>
      <c r="I96" s="438"/>
      <c r="J96" s="244"/>
      <c r="K96" s="244"/>
      <c r="L96" s="244"/>
      <c r="M96" s="244"/>
      <c r="N96" s="244"/>
      <c r="O96" s="244"/>
      <c r="P96" s="244"/>
      <c r="Q96" s="244"/>
      <c r="R96" s="244"/>
      <c r="S96" s="244"/>
      <c r="T96" s="244"/>
      <c r="U96" s="244"/>
      <c r="V96" s="244"/>
      <c r="W96" s="244"/>
      <c r="X96" s="244"/>
      <c r="Y96" s="244"/>
      <c r="Z96" s="244"/>
      <c r="AA96" s="244"/>
      <c r="AB96" s="244"/>
      <c r="AC96" s="244"/>
    </row>
    <row r="97" spans="1:29" ht="54" customHeight="1" x14ac:dyDescent="0.25">
      <c r="A97" s="219"/>
      <c r="B97" s="249">
        <v>82</v>
      </c>
      <c r="C97" s="250" t="s">
        <v>668</v>
      </c>
      <c r="D97" s="250" t="s">
        <v>912</v>
      </c>
      <c r="E97" s="436" t="s">
        <v>901</v>
      </c>
      <c r="F97" s="437"/>
      <c r="G97" s="437"/>
      <c r="H97" s="437"/>
      <c r="I97" s="438"/>
      <c r="J97" s="244"/>
      <c r="K97" s="244"/>
      <c r="L97" s="244"/>
      <c r="M97" s="244"/>
      <c r="N97" s="244"/>
      <c r="O97" s="244"/>
      <c r="P97" s="244"/>
      <c r="Q97" s="244"/>
      <c r="R97" s="244"/>
      <c r="S97" s="244"/>
      <c r="T97" s="244"/>
      <c r="U97" s="244"/>
      <c r="V97" s="244"/>
      <c r="W97" s="244"/>
      <c r="X97" s="244"/>
      <c r="Y97" s="244"/>
      <c r="Z97" s="244"/>
      <c r="AA97" s="244"/>
      <c r="AB97" s="244"/>
      <c r="AC97" s="244"/>
    </row>
    <row r="98" spans="1:29" ht="54" customHeight="1" x14ac:dyDescent="0.25">
      <c r="A98" s="219"/>
      <c r="B98" s="249">
        <v>83</v>
      </c>
      <c r="C98" s="250" t="s">
        <v>670</v>
      </c>
      <c r="D98" s="250" t="s">
        <v>913</v>
      </c>
      <c r="E98" s="436" t="s">
        <v>898</v>
      </c>
      <c r="F98" s="437"/>
      <c r="G98" s="437"/>
      <c r="H98" s="437"/>
      <c r="I98" s="438"/>
      <c r="J98" s="244"/>
      <c r="K98" s="244"/>
      <c r="L98" s="244"/>
      <c r="M98" s="244"/>
      <c r="N98" s="244"/>
      <c r="O98" s="244"/>
      <c r="P98" s="244"/>
      <c r="Q98" s="244"/>
      <c r="R98" s="244"/>
      <c r="S98" s="244"/>
      <c r="T98" s="244"/>
      <c r="U98" s="244"/>
      <c r="V98" s="244"/>
      <c r="W98" s="244"/>
      <c r="X98" s="244"/>
      <c r="Y98" s="244"/>
      <c r="Z98" s="244"/>
      <c r="AA98" s="244"/>
      <c r="AB98" s="244"/>
      <c r="AC98" s="244"/>
    </row>
    <row r="99" spans="1:29" ht="54" customHeight="1" x14ac:dyDescent="0.25">
      <c r="A99" s="219"/>
      <c r="B99" s="249">
        <v>84</v>
      </c>
      <c r="C99" s="250" t="s">
        <v>671</v>
      </c>
      <c r="D99" s="274" t="s">
        <v>953</v>
      </c>
      <c r="E99" s="436" t="s">
        <v>901</v>
      </c>
      <c r="F99" s="437"/>
      <c r="G99" s="437"/>
      <c r="H99" s="437"/>
      <c r="I99" s="438"/>
      <c r="J99" s="244"/>
      <c r="K99" s="244"/>
      <c r="L99" s="244"/>
      <c r="M99" s="244"/>
      <c r="N99" s="244"/>
      <c r="O99" s="244"/>
      <c r="P99" s="244"/>
      <c r="Q99" s="244"/>
      <c r="R99" s="244"/>
      <c r="S99" s="244"/>
      <c r="T99" s="244"/>
      <c r="U99" s="244"/>
      <c r="V99" s="244"/>
      <c r="W99" s="244"/>
      <c r="X99" s="244"/>
      <c r="Y99" s="244"/>
      <c r="Z99" s="244"/>
      <c r="AA99" s="244"/>
      <c r="AB99" s="244"/>
      <c r="AC99" s="244"/>
    </row>
    <row r="100" spans="1:29" ht="54" customHeight="1" x14ac:dyDescent="0.25">
      <c r="A100" s="219"/>
      <c r="B100" s="249">
        <v>85</v>
      </c>
      <c r="C100" s="250" t="s">
        <v>198</v>
      </c>
      <c r="D100" s="250" t="s">
        <v>1402</v>
      </c>
      <c r="E100" s="436" t="s">
        <v>898</v>
      </c>
      <c r="F100" s="437"/>
      <c r="G100" s="437"/>
      <c r="H100" s="437"/>
      <c r="I100" s="438"/>
      <c r="J100" s="244"/>
      <c r="K100" s="244"/>
      <c r="L100" s="244"/>
      <c r="M100" s="244"/>
      <c r="N100" s="244"/>
      <c r="O100" s="244"/>
      <c r="P100" s="244"/>
      <c r="Q100" s="244"/>
      <c r="R100" s="244"/>
      <c r="S100" s="244"/>
      <c r="T100" s="244"/>
      <c r="U100" s="244"/>
      <c r="V100" s="244"/>
      <c r="W100" s="244"/>
      <c r="X100" s="244"/>
      <c r="Y100" s="244"/>
      <c r="Z100" s="244"/>
      <c r="AA100" s="244"/>
      <c r="AB100" s="244"/>
      <c r="AC100" s="244"/>
    </row>
    <row r="101" spans="1:29" ht="54" customHeight="1" x14ac:dyDescent="0.25">
      <c r="A101" s="219"/>
      <c r="B101" s="249">
        <v>86</v>
      </c>
      <c r="C101" s="250" t="s">
        <v>857</v>
      </c>
      <c r="D101" s="250" t="s">
        <v>914</v>
      </c>
      <c r="E101" s="436" t="s">
        <v>901</v>
      </c>
      <c r="F101" s="437"/>
      <c r="G101" s="437"/>
      <c r="H101" s="437"/>
      <c r="I101" s="438"/>
      <c r="J101" s="244"/>
      <c r="K101" s="244"/>
      <c r="L101" s="244"/>
      <c r="M101" s="244"/>
      <c r="N101" s="244"/>
      <c r="O101" s="244"/>
      <c r="P101" s="244"/>
      <c r="Q101" s="244"/>
      <c r="R101" s="244"/>
      <c r="S101" s="244"/>
      <c r="T101" s="244"/>
      <c r="U101" s="244"/>
      <c r="V101" s="244"/>
      <c r="W101" s="244"/>
      <c r="X101" s="244"/>
      <c r="Y101" s="244"/>
      <c r="Z101" s="244"/>
      <c r="AA101" s="244"/>
      <c r="AB101" s="244"/>
      <c r="AC101" s="244"/>
    </row>
    <row r="102" spans="1:29" ht="54" customHeight="1" x14ac:dyDescent="0.25">
      <c r="A102" s="219"/>
      <c r="B102" s="249">
        <v>87</v>
      </c>
      <c r="C102" s="250" t="s">
        <v>1498</v>
      </c>
      <c r="D102" s="250" t="s">
        <v>1613</v>
      </c>
      <c r="E102" s="436" t="s">
        <v>900</v>
      </c>
      <c r="F102" s="437"/>
      <c r="G102" s="437"/>
      <c r="H102" s="437"/>
      <c r="I102" s="438"/>
      <c r="J102" s="244"/>
      <c r="K102" s="244"/>
      <c r="L102" s="244"/>
      <c r="M102" s="244"/>
      <c r="N102" s="244"/>
      <c r="O102" s="244"/>
      <c r="P102" s="244"/>
      <c r="Q102" s="244"/>
      <c r="R102" s="244"/>
      <c r="S102" s="244"/>
      <c r="T102" s="244"/>
      <c r="U102" s="244"/>
      <c r="V102" s="244"/>
      <c r="W102" s="244"/>
      <c r="X102" s="244"/>
      <c r="Y102" s="244"/>
      <c r="Z102" s="244"/>
      <c r="AA102" s="244"/>
      <c r="AB102" s="244"/>
      <c r="AC102" s="244"/>
    </row>
    <row r="103" spans="1:29" ht="54" customHeight="1" x14ac:dyDescent="0.25">
      <c r="A103" s="219"/>
      <c r="B103" s="249">
        <v>88</v>
      </c>
      <c r="C103" s="250" t="s">
        <v>725</v>
      </c>
      <c r="D103" s="250" t="s">
        <v>915</v>
      </c>
      <c r="E103" s="436" t="s">
        <v>898</v>
      </c>
      <c r="F103" s="437"/>
      <c r="G103" s="437"/>
      <c r="H103" s="437"/>
      <c r="I103" s="438"/>
      <c r="J103" s="244"/>
      <c r="K103" s="244"/>
      <c r="L103" s="244"/>
      <c r="M103" s="244"/>
      <c r="N103" s="244"/>
      <c r="O103" s="244"/>
      <c r="P103" s="244"/>
      <c r="Q103" s="244"/>
      <c r="R103" s="244"/>
      <c r="S103" s="244"/>
      <c r="T103" s="244"/>
      <c r="U103" s="244"/>
      <c r="V103" s="244"/>
      <c r="W103" s="244"/>
      <c r="X103" s="244"/>
      <c r="Y103" s="244"/>
      <c r="Z103" s="244"/>
      <c r="AA103" s="244"/>
      <c r="AB103" s="244"/>
      <c r="AC103" s="244"/>
    </row>
    <row r="104" spans="1:29" ht="54" customHeight="1" x14ac:dyDescent="0.25">
      <c r="A104" s="219"/>
      <c r="B104" s="249">
        <v>89</v>
      </c>
      <c r="C104" s="250" t="s">
        <v>859</v>
      </c>
      <c r="D104" s="250" t="s">
        <v>916</v>
      </c>
      <c r="E104" s="436" t="s">
        <v>901</v>
      </c>
      <c r="F104" s="437"/>
      <c r="G104" s="437"/>
      <c r="H104" s="437"/>
      <c r="I104" s="438"/>
      <c r="J104" s="244"/>
      <c r="K104" s="244"/>
      <c r="L104" s="244"/>
      <c r="M104" s="244"/>
      <c r="N104" s="244"/>
      <c r="O104" s="244"/>
      <c r="P104" s="244"/>
      <c r="Q104" s="244"/>
      <c r="R104" s="244"/>
      <c r="S104" s="244"/>
      <c r="T104" s="244"/>
      <c r="U104" s="244"/>
      <c r="V104" s="244"/>
      <c r="W104" s="244"/>
      <c r="X104" s="244"/>
      <c r="Y104" s="244"/>
      <c r="Z104" s="244"/>
      <c r="AA104" s="244"/>
      <c r="AB104" s="244"/>
      <c r="AC104" s="244"/>
    </row>
    <row r="105" spans="1:29" ht="54" customHeight="1" x14ac:dyDescent="0.25">
      <c r="A105" s="219"/>
      <c r="B105" s="249">
        <v>90</v>
      </c>
      <c r="C105" s="250" t="s">
        <v>861</v>
      </c>
      <c r="D105" s="250" t="s">
        <v>954</v>
      </c>
      <c r="E105" s="436" t="s">
        <v>926</v>
      </c>
      <c r="F105" s="437"/>
      <c r="G105" s="437"/>
      <c r="H105" s="437"/>
      <c r="I105" s="438"/>
      <c r="J105" s="244"/>
      <c r="K105" s="244"/>
      <c r="L105" s="244"/>
      <c r="M105" s="244"/>
      <c r="N105" s="244"/>
      <c r="O105" s="244"/>
      <c r="P105" s="244"/>
      <c r="Q105" s="244"/>
      <c r="R105" s="244"/>
      <c r="S105" s="244"/>
      <c r="T105" s="244"/>
      <c r="U105" s="244"/>
      <c r="V105" s="244"/>
      <c r="W105" s="244"/>
      <c r="X105" s="244"/>
      <c r="Y105" s="244"/>
      <c r="Z105" s="244"/>
      <c r="AA105" s="244"/>
      <c r="AB105" s="244"/>
      <c r="AC105" s="244"/>
    </row>
    <row r="106" spans="1:29" ht="54" customHeight="1" x14ac:dyDescent="0.25">
      <c r="A106" s="219"/>
      <c r="B106" s="249">
        <v>91</v>
      </c>
      <c r="C106" s="250" t="s">
        <v>862</v>
      </c>
      <c r="D106" s="274" t="s">
        <v>955</v>
      </c>
      <c r="E106" s="436" t="s">
        <v>902</v>
      </c>
      <c r="F106" s="437"/>
      <c r="G106" s="437"/>
      <c r="H106" s="437"/>
      <c r="I106" s="438"/>
      <c r="J106" s="244"/>
      <c r="K106" s="244"/>
      <c r="L106" s="244"/>
      <c r="M106" s="244"/>
      <c r="N106" s="244"/>
      <c r="O106" s="244"/>
      <c r="P106" s="244"/>
      <c r="Q106" s="244"/>
      <c r="R106" s="244"/>
      <c r="S106" s="244"/>
      <c r="T106" s="244"/>
      <c r="U106" s="244"/>
      <c r="V106" s="244"/>
      <c r="W106" s="244"/>
      <c r="X106" s="244"/>
      <c r="Y106" s="244"/>
      <c r="Z106" s="244"/>
      <c r="AA106" s="244"/>
      <c r="AB106" s="244"/>
      <c r="AC106" s="244"/>
    </row>
    <row r="107" spans="1:29" ht="54" customHeight="1" x14ac:dyDescent="0.25">
      <c r="A107" s="219"/>
      <c r="B107" s="249">
        <v>92</v>
      </c>
      <c r="C107" s="250" t="s">
        <v>1121</v>
      </c>
      <c r="D107" s="274" t="s">
        <v>1403</v>
      </c>
      <c r="E107" s="436" t="s">
        <v>901</v>
      </c>
      <c r="F107" s="437"/>
      <c r="G107" s="437"/>
      <c r="H107" s="437"/>
      <c r="I107" s="438"/>
      <c r="J107" s="244"/>
      <c r="K107" s="244"/>
      <c r="L107" s="244"/>
      <c r="M107" s="244"/>
      <c r="N107" s="244"/>
      <c r="O107" s="244"/>
      <c r="P107" s="244"/>
      <c r="Q107" s="244"/>
      <c r="R107" s="244"/>
      <c r="S107" s="244"/>
      <c r="T107" s="244"/>
      <c r="U107" s="244"/>
      <c r="V107" s="244"/>
      <c r="W107" s="244"/>
      <c r="X107" s="244"/>
      <c r="Y107" s="244"/>
      <c r="Z107" s="244"/>
      <c r="AA107" s="244"/>
      <c r="AB107" s="244"/>
      <c r="AC107" s="244"/>
    </row>
    <row r="108" spans="1:29" ht="54" customHeight="1" x14ac:dyDescent="0.25">
      <c r="A108" s="219"/>
      <c r="B108" s="249">
        <v>93</v>
      </c>
      <c r="C108" s="250" t="s">
        <v>677</v>
      </c>
      <c r="D108" s="250" t="s">
        <v>917</v>
      </c>
      <c r="E108" s="436" t="s">
        <v>900</v>
      </c>
      <c r="F108" s="437"/>
      <c r="G108" s="437"/>
      <c r="H108" s="437"/>
      <c r="I108" s="438"/>
      <c r="J108" s="244"/>
      <c r="K108" s="244"/>
      <c r="L108" s="244"/>
      <c r="M108" s="244"/>
      <c r="N108" s="244"/>
      <c r="O108" s="244"/>
      <c r="P108" s="244"/>
      <c r="Q108" s="244"/>
      <c r="R108" s="244"/>
      <c r="S108" s="244"/>
      <c r="T108" s="244"/>
      <c r="U108" s="244"/>
      <c r="V108" s="244"/>
      <c r="W108" s="244"/>
      <c r="X108" s="244"/>
      <c r="Y108" s="244"/>
      <c r="Z108" s="244"/>
      <c r="AA108" s="244"/>
      <c r="AB108" s="244"/>
      <c r="AC108" s="244"/>
    </row>
    <row r="109" spans="1:29" ht="54" customHeight="1" x14ac:dyDescent="0.25">
      <c r="A109" s="219"/>
      <c r="B109" s="249">
        <v>94</v>
      </c>
      <c r="C109" s="250" t="s">
        <v>679</v>
      </c>
      <c r="D109" s="250" t="s">
        <v>918</v>
      </c>
      <c r="E109" s="436" t="s">
        <v>900</v>
      </c>
      <c r="F109" s="437"/>
      <c r="G109" s="437"/>
      <c r="H109" s="437"/>
      <c r="I109" s="438"/>
      <c r="J109" s="244"/>
      <c r="K109" s="244"/>
      <c r="L109" s="244"/>
      <c r="M109" s="244"/>
      <c r="N109" s="244"/>
      <c r="O109" s="244"/>
      <c r="P109" s="244"/>
      <c r="Q109" s="244"/>
      <c r="R109" s="244"/>
      <c r="S109" s="244"/>
      <c r="T109" s="244"/>
      <c r="U109" s="244"/>
      <c r="V109" s="244"/>
      <c r="W109" s="244"/>
      <c r="X109" s="244"/>
      <c r="Y109" s="244"/>
      <c r="Z109" s="244"/>
      <c r="AA109" s="244"/>
      <c r="AB109" s="244"/>
      <c r="AC109" s="244"/>
    </row>
    <row r="110" spans="1:29" ht="54" customHeight="1" x14ac:dyDescent="0.25">
      <c r="A110" s="219"/>
      <c r="B110" s="249">
        <v>95</v>
      </c>
      <c r="C110" s="250" t="s">
        <v>681</v>
      </c>
      <c r="D110" s="250" t="s">
        <v>919</v>
      </c>
      <c r="E110" s="436" t="s">
        <v>900</v>
      </c>
      <c r="F110" s="437"/>
      <c r="G110" s="437"/>
      <c r="H110" s="437"/>
      <c r="I110" s="438"/>
      <c r="J110" s="244"/>
      <c r="K110" s="244"/>
      <c r="L110" s="244"/>
      <c r="M110" s="244"/>
      <c r="N110" s="244"/>
      <c r="O110" s="244"/>
      <c r="P110" s="244"/>
      <c r="Q110" s="244"/>
      <c r="R110" s="244"/>
      <c r="S110" s="244"/>
      <c r="T110" s="244"/>
      <c r="U110" s="244"/>
      <c r="V110" s="244"/>
      <c r="W110" s="244"/>
      <c r="X110" s="244"/>
      <c r="Y110" s="244"/>
      <c r="Z110" s="244"/>
      <c r="AA110" s="244"/>
      <c r="AB110" s="244"/>
      <c r="AC110" s="244"/>
    </row>
    <row r="111" spans="1:29" ht="54" customHeight="1" x14ac:dyDescent="0.25">
      <c r="A111" s="219"/>
      <c r="B111" s="249">
        <v>96</v>
      </c>
      <c r="C111" s="250" t="s">
        <v>682</v>
      </c>
      <c r="D111" s="250" t="s">
        <v>920</v>
      </c>
      <c r="E111" s="436" t="s">
        <v>900</v>
      </c>
      <c r="F111" s="437"/>
      <c r="G111" s="437"/>
      <c r="H111" s="437"/>
      <c r="I111" s="438"/>
      <c r="J111" s="244"/>
      <c r="K111" s="244"/>
      <c r="L111" s="244"/>
      <c r="M111" s="244"/>
      <c r="N111" s="244"/>
      <c r="O111" s="244"/>
      <c r="P111" s="244"/>
      <c r="Q111" s="244"/>
      <c r="R111" s="244"/>
      <c r="S111" s="244"/>
      <c r="T111" s="244"/>
      <c r="U111" s="244"/>
      <c r="V111" s="244"/>
      <c r="W111" s="244"/>
      <c r="X111" s="244"/>
      <c r="Y111" s="244"/>
      <c r="Z111" s="244"/>
      <c r="AA111" s="244"/>
      <c r="AB111" s="244"/>
      <c r="AC111" s="244"/>
    </row>
    <row r="112" spans="1:29" ht="54" customHeight="1" x14ac:dyDescent="0.25">
      <c r="A112" s="219"/>
      <c r="B112" s="249">
        <v>97</v>
      </c>
      <c r="C112" s="250" t="s">
        <v>684</v>
      </c>
      <c r="D112" s="250" t="s">
        <v>921</v>
      </c>
      <c r="E112" s="436" t="s">
        <v>900</v>
      </c>
      <c r="F112" s="437"/>
      <c r="G112" s="437"/>
      <c r="H112" s="437"/>
      <c r="I112" s="438"/>
      <c r="J112" s="244"/>
      <c r="K112" s="244"/>
      <c r="L112" s="244"/>
      <c r="M112" s="244"/>
      <c r="N112" s="244"/>
      <c r="O112" s="244"/>
      <c r="P112" s="244"/>
      <c r="Q112" s="244"/>
      <c r="R112" s="244"/>
      <c r="S112" s="244"/>
      <c r="T112" s="244"/>
      <c r="U112" s="244"/>
      <c r="V112" s="244"/>
      <c r="W112" s="244"/>
      <c r="X112" s="244"/>
      <c r="Y112" s="244"/>
      <c r="Z112" s="244"/>
      <c r="AA112" s="244"/>
      <c r="AB112" s="244"/>
      <c r="AC112" s="244"/>
    </row>
    <row r="113" spans="1:29" ht="54" customHeight="1" x14ac:dyDescent="0.25">
      <c r="A113" s="219"/>
      <c r="B113" s="249">
        <v>98</v>
      </c>
      <c r="C113" s="250" t="s">
        <v>686</v>
      </c>
      <c r="D113" s="250" t="s">
        <v>922</v>
      </c>
      <c r="E113" s="436" t="s">
        <v>900</v>
      </c>
      <c r="F113" s="437"/>
      <c r="G113" s="437"/>
      <c r="H113" s="437"/>
      <c r="I113" s="438"/>
      <c r="J113" s="244"/>
      <c r="K113" s="244"/>
      <c r="L113" s="244"/>
      <c r="M113" s="244"/>
      <c r="N113" s="244"/>
      <c r="O113" s="244"/>
      <c r="P113" s="244"/>
      <c r="Q113" s="244"/>
      <c r="R113" s="244"/>
      <c r="S113" s="244"/>
      <c r="T113" s="244"/>
      <c r="U113" s="244"/>
      <c r="V113" s="244"/>
      <c r="W113" s="244"/>
      <c r="X113" s="244"/>
      <c r="Y113" s="244"/>
      <c r="Z113" s="244"/>
      <c r="AA113" s="244"/>
      <c r="AB113" s="244"/>
      <c r="AC113" s="244"/>
    </row>
    <row r="114" spans="1:29" ht="54" customHeight="1" x14ac:dyDescent="0.25">
      <c r="A114" s="219"/>
      <c r="B114" s="249">
        <v>99</v>
      </c>
      <c r="C114" s="250" t="s">
        <v>688</v>
      </c>
      <c r="D114" s="250" t="s">
        <v>923</v>
      </c>
      <c r="E114" s="436" t="s">
        <v>900</v>
      </c>
      <c r="F114" s="437"/>
      <c r="G114" s="437"/>
      <c r="H114" s="437"/>
      <c r="I114" s="438"/>
      <c r="J114" s="244"/>
      <c r="K114" s="244"/>
      <c r="L114" s="244"/>
      <c r="M114" s="244"/>
      <c r="N114" s="244"/>
      <c r="O114" s="244"/>
      <c r="P114" s="244"/>
      <c r="Q114" s="244"/>
      <c r="R114" s="244"/>
      <c r="S114" s="244"/>
      <c r="T114" s="244"/>
      <c r="U114" s="244"/>
      <c r="V114" s="244"/>
      <c r="W114" s="244"/>
      <c r="X114" s="244"/>
      <c r="Y114" s="244"/>
      <c r="Z114" s="244"/>
      <c r="AA114" s="244"/>
      <c r="AB114" s="244"/>
      <c r="AC114" s="244"/>
    </row>
    <row r="115" spans="1:29" ht="54" customHeight="1" x14ac:dyDescent="0.25">
      <c r="A115" s="219"/>
      <c r="B115" s="249">
        <v>100</v>
      </c>
      <c r="C115" s="250" t="s">
        <v>692</v>
      </c>
      <c r="D115" s="250" t="s">
        <v>924</v>
      </c>
      <c r="E115" s="436" t="s">
        <v>900</v>
      </c>
      <c r="F115" s="437"/>
      <c r="G115" s="437"/>
      <c r="H115" s="437"/>
      <c r="I115" s="438"/>
      <c r="J115" s="244"/>
      <c r="K115" s="244"/>
      <c r="L115" s="244"/>
      <c r="M115" s="244"/>
      <c r="N115" s="244"/>
      <c r="O115" s="244"/>
      <c r="P115" s="244"/>
      <c r="Q115" s="244"/>
      <c r="R115" s="244"/>
      <c r="S115" s="244"/>
      <c r="T115" s="244"/>
      <c r="U115" s="244"/>
      <c r="V115" s="244"/>
      <c r="W115" s="244"/>
      <c r="X115" s="244"/>
      <c r="Y115" s="244"/>
      <c r="Z115" s="244"/>
      <c r="AA115" s="244"/>
      <c r="AB115" s="244"/>
      <c r="AC115" s="244"/>
    </row>
    <row r="116" spans="1:29" ht="54" customHeight="1" x14ac:dyDescent="0.25">
      <c r="A116" s="219"/>
      <c r="B116" s="249">
        <v>101</v>
      </c>
      <c r="C116" s="250" t="s">
        <v>694</v>
      </c>
      <c r="D116" s="250" t="s">
        <v>925</v>
      </c>
      <c r="E116" s="436" t="s">
        <v>900</v>
      </c>
      <c r="F116" s="437"/>
      <c r="G116" s="437"/>
      <c r="H116" s="437"/>
      <c r="I116" s="438"/>
      <c r="J116" s="244"/>
      <c r="K116" s="244"/>
      <c r="L116" s="244"/>
      <c r="M116" s="244"/>
      <c r="N116" s="244"/>
      <c r="O116" s="244"/>
      <c r="P116" s="244"/>
      <c r="Q116" s="244"/>
      <c r="R116" s="244"/>
      <c r="S116" s="244"/>
      <c r="T116" s="244"/>
      <c r="U116" s="244"/>
      <c r="V116" s="244"/>
      <c r="W116" s="244"/>
      <c r="X116" s="244"/>
      <c r="Y116" s="244"/>
      <c r="Z116" s="244"/>
      <c r="AA116" s="244"/>
      <c r="AB116" s="244"/>
      <c r="AC116" s="244"/>
    </row>
    <row r="117" spans="1:29" ht="54" customHeight="1" x14ac:dyDescent="0.25">
      <c r="A117" s="219"/>
      <c r="B117" s="249">
        <v>102</v>
      </c>
      <c r="C117" s="250" t="s">
        <v>694</v>
      </c>
      <c r="D117" s="250" t="s">
        <v>925</v>
      </c>
      <c r="E117" s="436" t="s">
        <v>900</v>
      </c>
      <c r="F117" s="437"/>
      <c r="G117" s="437"/>
      <c r="H117" s="437"/>
      <c r="I117" s="438"/>
      <c r="J117" s="244"/>
      <c r="K117" s="244"/>
      <c r="L117" s="244"/>
      <c r="M117" s="244"/>
      <c r="N117" s="244"/>
      <c r="O117" s="244"/>
      <c r="P117" s="244"/>
      <c r="Q117" s="244"/>
      <c r="R117" s="244"/>
      <c r="S117" s="244"/>
      <c r="T117" s="244"/>
      <c r="U117" s="244"/>
      <c r="V117" s="244"/>
      <c r="W117" s="244"/>
      <c r="X117" s="244"/>
      <c r="Y117" s="244"/>
      <c r="Z117" s="244"/>
      <c r="AA117" s="244"/>
      <c r="AB117" s="244"/>
      <c r="AC117" s="244"/>
    </row>
    <row r="118" spans="1:29" ht="54" customHeight="1" x14ac:dyDescent="0.25">
      <c r="A118" s="219"/>
      <c r="B118" s="249">
        <v>103</v>
      </c>
      <c r="C118" s="250" t="s">
        <v>1518</v>
      </c>
      <c r="D118" s="250" t="s">
        <v>1614</v>
      </c>
      <c r="E118" s="436" t="s">
        <v>900</v>
      </c>
      <c r="F118" s="437"/>
      <c r="G118" s="437"/>
      <c r="H118" s="437"/>
      <c r="I118" s="438"/>
      <c r="J118" s="244"/>
      <c r="K118" s="244"/>
      <c r="L118" s="244"/>
      <c r="M118" s="244"/>
      <c r="N118" s="244"/>
      <c r="O118" s="244"/>
      <c r="P118" s="244"/>
      <c r="Q118" s="244"/>
      <c r="R118" s="244"/>
      <c r="S118" s="244"/>
      <c r="T118" s="244"/>
      <c r="U118" s="244"/>
      <c r="V118" s="244"/>
      <c r="W118" s="244"/>
      <c r="X118" s="244"/>
      <c r="Y118" s="244"/>
      <c r="Z118" s="244"/>
      <c r="AA118" s="244"/>
      <c r="AB118" s="244"/>
      <c r="AC118" s="244"/>
    </row>
    <row r="119" spans="1:29" ht="54" customHeight="1" x14ac:dyDescent="0.25">
      <c r="A119" s="219"/>
      <c r="B119" s="249">
        <v>104</v>
      </c>
      <c r="C119" s="250" t="s">
        <v>1524</v>
      </c>
      <c r="D119" s="250" t="s">
        <v>1615</v>
      </c>
      <c r="E119" s="436" t="s">
        <v>900</v>
      </c>
      <c r="F119" s="437"/>
      <c r="G119" s="437"/>
      <c r="H119" s="437"/>
      <c r="I119" s="438"/>
      <c r="J119" s="244"/>
      <c r="K119" s="244"/>
      <c r="L119" s="244"/>
      <c r="M119" s="244"/>
      <c r="N119" s="244"/>
      <c r="O119" s="244"/>
      <c r="P119" s="244"/>
      <c r="Q119" s="244"/>
      <c r="R119" s="244"/>
      <c r="S119" s="244"/>
      <c r="T119" s="244"/>
      <c r="U119" s="244"/>
      <c r="V119" s="244"/>
      <c r="W119" s="244"/>
      <c r="X119" s="244"/>
      <c r="Y119" s="244"/>
      <c r="Z119" s="244"/>
      <c r="AA119" s="244"/>
      <c r="AB119" s="244"/>
      <c r="AC119" s="244"/>
    </row>
    <row r="120" spans="1:29" ht="54" customHeight="1" x14ac:dyDescent="0.25">
      <c r="A120" s="219"/>
      <c r="B120" s="249">
        <v>105</v>
      </c>
      <c r="C120" s="250" t="s">
        <v>1526</v>
      </c>
      <c r="D120" s="250" t="s">
        <v>1616</v>
      </c>
      <c r="E120" s="436" t="s">
        <v>901</v>
      </c>
      <c r="F120" s="437"/>
      <c r="G120" s="437"/>
      <c r="H120" s="437"/>
      <c r="I120" s="438"/>
      <c r="J120" s="244"/>
      <c r="K120" s="244"/>
      <c r="L120" s="244"/>
      <c r="M120" s="244"/>
      <c r="N120" s="244"/>
      <c r="O120" s="244"/>
      <c r="P120" s="244"/>
      <c r="Q120" s="244"/>
      <c r="R120" s="244"/>
      <c r="S120" s="244"/>
      <c r="T120" s="244"/>
      <c r="U120" s="244"/>
      <c r="V120" s="244"/>
      <c r="W120" s="244"/>
      <c r="X120" s="244"/>
      <c r="Y120" s="244"/>
      <c r="Z120" s="244"/>
      <c r="AA120" s="244"/>
      <c r="AB120" s="244"/>
      <c r="AC120" s="244"/>
    </row>
    <row r="121" spans="1:29" ht="54" customHeight="1" x14ac:dyDescent="0.25">
      <c r="A121" s="219"/>
      <c r="B121" s="249">
        <v>106</v>
      </c>
      <c r="C121" s="250" t="s">
        <v>1532</v>
      </c>
      <c r="D121" s="250" t="s">
        <v>1617</v>
      </c>
      <c r="E121" s="436" t="s">
        <v>901</v>
      </c>
      <c r="F121" s="437"/>
      <c r="G121" s="437"/>
      <c r="H121" s="437"/>
      <c r="I121" s="438"/>
      <c r="J121" s="244"/>
      <c r="K121" s="244"/>
      <c r="L121" s="244"/>
      <c r="M121" s="244"/>
      <c r="N121" s="244"/>
      <c r="O121" s="244"/>
      <c r="P121" s="244"/>
      <c r="Q121" s="244"/>
      <c r="R121" s="244"/>
      <c r="S121" s="244"/>
      <c r="T121" s="244"/>
      <c r="U121" s="244"/>
      <c r="V121" s="244"/>
      <c r="W121" s="244"/>
      <c r="X121" s="244"/>
      <c r="Y121" s="244"/>
      <c r="Z121" s="244"/>
      <c r="AA121" s="244"/>
      <c r="AB121" s="244"/>
      <c r="AC121" s="244"/>
    </row>
    <row r="122" spans="1:29" ht="54" customHeight="1" x14ac:dyDescent="0.25">
      <c r="A122" s="219"/>
      <c r="B122" s="249">
        <v>107</v>
      </c>
      <c r="C122" s="250" t="s">
        <v>1534</v>
      </c>
      <c r="D122" s="250" t="s">
        <v>1618</v>
      </c>
      <c r="E122" s="436" t="s">
        <v>926</v>
      </c>
      <c r="F122" s="437"/>
      <c r="G122" s="437"/>
      <c r="H122" s="437"/>
      <c r="I122" s="438"/>
      <c r="J122" s="244"/>
      <c r="K122" s="244"/>
      <c r="L122" s="244"/>
      <c r="M122" s="244"/>
      <c r="N122" s="244"/>
      <c r="O122" s="244"/>
      <c r="P122" s="244"/>
      <c r="Q122" s="244"/>
      <c r="R122" s="244"/>
      <c r="S122" s="244"/>
      <c r="T122" s="244"/>
      <c r="U122" s="244"/>
      <c r="V122" s="244"/>
      <c r="W122" s="244"/>
      <c r="X122" s="244"/>
      <c r="Y122" s="244"/>
      <c r="Z122" s="244"/>
      <c r="AA122" s="244"/>
      <c r="AB122" s="244"/>
      <c r="AC122" s="244"/>
    </row>
    <row r="123" spans="1:29" ht="54" customHeight="1" x14ac:dyDescent="0.25">
      <c r="A123" s="219"/>
      <c r="B123" s="249">
        <v>108</v>
      </c>
      <c r="C123" s="250" t="s">
        <v>707</v>
      </c>
      <c r="D123" s="250" t="s">
        <v>956</v>
      </c>
      <c r="E123" s="436" t="s">
        <v>900</v>
      </c>
      <c r="F123" s="437"/>
      <c r="G123" s="437"/>
      <c r="H123" s="437"/>
      <c r="I123" s="438"/>
      <c r="J123" s="244"/>
      <c r="K123" s="244"/>
      <c r="L123" s="244"/>
      <c r="M123" s="244"/>
      <c r="N123" s="244"/>
      <c r="O123" s="244"/>
      <c r="P123" s="244"/>
      <c r="Q123" s="244"/>
      <c r="R123" s="244"/>
      <c r="S123" s="244"/>
      <c r="T123" s="244"/>
      <c r="U123" s="244"/>
      <c r="V123" s="244"/>
      <c r="W123" s="244"/>
      <c r="X123" s="244"/>
      <c r="Y123" s="244"/>
      <c r="Z123" s="244"/>
      <c r="AA123" s="244"/>
      <c r="AB123" s="244"/>
      <c r="AC123" s="244"/>
    </row>
    <row r="124" spans="1:29" ht="54" customHeight="1" x14ac:dyDescent="0.25">
      <c r="A124" s="219"/>
      <c r="B124" s="249">
        <v>109</v>
      </c>
      <c r="C124" s="250" t="s">
        <v>1125</v>
      </c>
      <c r="D124" s="250" t="s">
        <v>1404</v>
      </c>
      <c r="E124" s="436" t="s">
        <v>898</v>
      </c>
      <c r="F124" s="437"/>
      <c r="G124" s="437"/>
      <c r="H124" s="437"/>
      <c r="I124" s="438"/>
      <c r="J124" s="244"/>
      <c r="K124" s="244"/>
      <c r="L124" s="244"/>
      <c r="M124" s="244"/>
      <c r="N124" s="244"/>
      <c r="O124" s="244"/>
      <c r="P124" s="244"/>
      <c r="Q124" s="244"/>
      <c r="R124" s="244"/>
      <c r="S124" s="244"/>
      <c r="T124" s="244"/>
      <c r="U124" s="244"/>
      <c r="V124" s="244"/>
      <c r="W124" s="244"/>
      <c r="X124" s="244"/>
      <c r="Y124" s="244"/>
      <c r="Z124" s="244"/>
      <c r="AA124" s="244"/>
      <c r="AB124" s="244"/>
      <c r="AC124" s="244"/>
    </row>
    <row r="125" spans="1:29" ht="54" customHeight="1" x14ac:dyDescent="0.25">
      <c r="A125" s="219"/>
      <c r="B125" s="249">
        <v>110</v>
      </c>
      <c r="C125" s="250" t="s">
        <v>1536</v>
      </c>
      <c r="D125" s="250" t="s">
        <v>1619</v>
      </c>
      <c r="E125" s="436" t="s">
        <v>926</v>
      </c>
      <c r="F125" s="437"/>
      <c r="G125" s="437"/>
      <c r="H125" s="437"/>
      <c r="I125" s="438"/>
      <c r="J125" s="244"/>
      <c r="K125" s="244"/>
      <c r="L125" s="244"/>
      <c r="M125" s="244"/>
      <c r="N125" s="244"/>
      <c r="O125" s="244"/>
      <c r="P125" s="244"/>
      <c r="Q125" s="244"/>
      <c r="R125" s="244"/>
      <c r="S125" s="244"/>
      <c r="T125" s="244"/>
      <c r="U125" s="244"/>
      <c r="V125" s="244"/>
      <c r="W125" s="244"/>
      <c r="X125" s="244"/>
      <c r="Y125" s="244"/>
      <c r="Z125" s="244"/>
      <c r="AA125" s="244"/>
      <c r="AB125" s="244"/>
      <c r="AC125" s="244"/>
    </row>
    <row r="126" spans="1:29" ht="54" customHeight="1" x14ac:dyDescent="0.25">
      <c r="A126" s="219"/>
      <c r="B126" s="249">
        <v>111</v>
      </c>
      <c r="C126" s="250" t="s">
        <v>1538</v>
      </c>
      <c r="D126" s="250" t="s">
        <v>1620</v>
      </c>
      <c r="E126" s="436" t="s">
        <v>926</v>
      </c>
      <c r="F126" s="437"/>
      <c r="G126" s="437"/>
      <c r="H126" s="437"/>
      <c r="I126" s="438"/>
      <c r="J126" s="244"/>
      <c r="K126" s="244"/>
      <c r="L126" s="244"/>
      <c r="M126" s="244"/>
      <c r="N126" s="244"/>
      <c r="O126" s="244"/>
      <c r="P126" s="244"/>
      <c r="Q126" s="244"/>
      <c r="R126" s="244"/>
      <c r="S126" s="244"/>
      <c r="T126" s="244"/>
      <c r="U126" s="244"/>
      <c r="V126" s="244"/>
      <c r="W126" s="244"/>
      <c r="X126" s="244"/>
      <c r="Y126" s="244"/>
      <c r="Z126" s="244"/>
      <c r="AA126" s="244"/>
      <c r="AB126" s="244"/>
      <c r="AC126" s="244"/>
    </row>
    <row r="127" spans="1:29" ht="54" customHeight="1" x14ac:dyDescent="0.25">
      <c r="A127" s="219"/>
      <c r="B127" s="249">
        <v>112</v>
      </c>
      <c r="C127" s="250" t="s">
        <v>1540</v>
      </c>
      <c r="D127" s="250" t="s">
        <v>1621</v>
      </c>
      <c r="E127" s="436" t="s">
        <v>900</v>
      </c>
      <c r="F127" s="437"/>
      <c r="G127" s="437"/>
      <c r="H127" s="437"/>
      <c r="I127" s="438"/>
      <c r="J127" s="244"/>
      <c r="K127" s="244"/>
      <c r="L127" s="244"/>
      <c r="M127" s="244"/>
      <c r="N127" s="244"/>
      <c r="O127" s="244"/>
      <c r="P127" s="244"/>
      <c r="Q127" s="244"/>
      <c r="R127" s="244"/>
      <c r="S127" s="244"/>
      <c r="T127" s="244"/>
      <c r="U127" s="244"/>
      <c r="V127" s="244"/>
      <c r="W127" s="244"/>
      <c r="X127" s="244"/>
      <c r="Y127" s="244"/>
      <c r="Z127" s="244"/>
      <c r="AA127" s="244"/>
      <c r="AB127" s="244"/>
      <c r="AC127" s="244"/>
    </row>
    <row r="128" spans="1:29" ht="54" customHeight="1" x14ac:dyDescent="0.25">
      <c r="A128" s="219"/>
      <c r="B128" s="249">
        <v>113</v>
      </c>
      <c r="C128" s="250" t="s">
        <v>709</v>
      </c>
      <c r="D128" s="274" t="s">
        <v>927</v>
      </c>
      <c r="E128" s="436" t="s">
        <v>900</v>
      </c>
      <c r="F128" s="437"/>
      <c r="G128" s="437"/>
      <c r="H128" s="437"/>
      <c r="I128" s="438"/>
      <c r="J128" s="244"/>
      <c r="K128" s="244"/>
      <c r="L128" s="244"/>
      <c r="M128" s="244"/>
      <c r="N128" s="244"/>
      <c r="O128" s="244"/>
      <c r="P128" s="244"/>
      <c r="Q128" s="244"/>
      <c r="R128" s="244"/>
      <c r="S128" s="244"/>
      <c r="T128" s="244"/>
      <c r="U128" s="244"/>
      <c r="V128" s="244"/>
      <c r="W128" s="244"/>
      <c r="X128" s="244"/>
      <c r="Y128" s="244"/>
      <c r="Z128" s="244"/>
      <c r="AA128" s="244"/>
      <c r="AB128" s="244"/>
      <c r="AC128" s="244"/>
    </row>
    <row r="129" spans="1:29" ht="54" customHeight="1" x14ac:dyDescent="0.25">
      <c r="A129" s="219"/>
      <c r="B129" s="249">
        <v>114</v>
      </c>
      <c r="C129" s="250" t="s">
        <v>1542</v>
      </c>
      <c r="D129" s="250" t="s">
        <v>1622</v>
      </c>
      <c r="E129" s="436" t="s">
        <v>901</v>
      </c>
      <c r="F129" s="437"/>
      <c r="G129" s="437"/>
      <c r="H129" s="437"/>
      <c r="I129" s="438"/>
      <c r="J129" s="244"/>
      <c r="K129" s="244"/>
      <c r="L129" s="244"/>
      <c r="M129" s="244"/>
      <c r="N129" s="244"/>
      <c r="O129" s="244"/>
      <c r="P129" s="244"/>
      <c r="Q129" s="244"/>
      <c r="R129" s="244"/>
      <c r="S129" s="244"/>
      <c r="T129" s="244"/>
      <c r="U129" s="244"/>
      <c r="V129" s="244"/>
      <c r="W129" s="244"/>
      <c r="X129" s="244"/>
      <c r="Y129" s="244"/>
      <c r="Z129" s="244"/>
      <c r="AA129" s="244"/>
      <c r="AB129" s="244"/>
      <c r="AC129" s="244"/>
    </row>
    <row r="130" spans="1:29" ht="54" customHeight="1" x14ac:dyDescent="0.25">
      <c r="A130" s="219"/>
      <c r="B130" s="249">
        <v>115</v>
      </c>
      <c r="C130" s="250" t="s">
        <v>1127</v>
      </c>
      <c r="D130" s="250" t="s">
        <v>1405</v>
      </c>
      <c r="E130" s="436" t="s">
        <v>900</v>
      </c>
      <c r="F130" s="437"/>
      <c r="G130" s="437"/>
      <c r="H130" s="437"/>
      <c r="I130" s="438"/>
      <c r="J130" s="244"/>
      <c r="K130" s="244"/>
      <c r="L130" s="244"/>
      <c r="M130" s="244"/>
      <c r="N130" s="244"/>
      <c r="O130" s="244"/>
      <c r="P130" s="244"/>
      <c r="Q130" s="244"/>
      <c r="R130" s="244"/>
      <c r="S130" s="244"/>
      <c r="T130" s="244"/>
      <c r="U130" s="244"/>
      <c r="V130" s="244"/>
      <c r="W130" s="244"/>
      <c r="X130" s="244"/>
      <c r="Y130" s="244"/>
      <c r="Z130" s="244"/>
      <c r="AA130" s="244"/>
      <c r="AB130" s="244"/>
      <c r="AC130" s="244"/>
    </row>
    <row r="131" spans="1:29" ht="54" customHeight="1" x14ac:dyDescent="0.25">
      <c r="A131" s="219"/>
      <c r="B131" s="249">
        <v>116</v>
      </c>
      <c r="C131" s="250" t="s">
        <v>1544</v>
      </c>
      <c r="D131" s="250" t="s">
        <v>1623</v>
      </c>
      <c r="E131" s="436" t="s">
        <v>902</v>
      </c>
      <c r="F131" s="437"/>
      <c r="G131" s="437"/>
      <c r="H131" s="437"/>
      <c r="I131" s="438"/>
      <c r="J131" s="244"/>
      <c r="K131" s="244"/>
      <c r="L131" s="244"/>
      <c r="M131" s="244"/>
      <c r="N131" s="244"/>
      <c r="O131" s="244"/>
      <c r="P131" s="244"/>
      <c r="Q131" s="244"/>
      <c r="R131" s="244"/>
      <c r="S131" s="244"/>
      <c r="T131" s="244"/>
      <c r="U131" s="244"/>
      <c r="V131" s="244"/>
      <c r="W131" s="244"/>
      <c r="X131" s="244"/>
      <c r="Y131" s="244"/>
      <c r="Z131" s="244"/>
      <c r="AA131" s="244"/>
      <c r="AB131" s="244"/>
      <c r="AC131" s="244"/>
    </row>
    <row r="132" spans="1:29" ht="54" customHeight="1" x14ac:dyDescent="0.25">
      <c r="A132" s="219"/>
      <c r="B132" s="249">
        <v>117</v>
      </c>
      <c r="C132" s="250" t="s">
        <v>1546</v>
      </c>
      <c r="D132" s="250" t="s">
        <v>1624</v>
      </c>
      <c r="E132" s="436" t="s">
        <v>901</v>
      </c>
      <c r="F132" s="437"/>
      <c r="G132" s="437"/>
      <c r="H132" s="437"/>
      <c r="I132" s="438"/>
      <c r="J132" s="244"/>
      <c r="K132" s="244"/>
      <c r="L132" s="244"/>
      <c r="M132" s="244"/>
      <c r="N132" s="244"/>
      <c r="O132" s="244"/>
      <c r="P132" s="244"/>
      <c r="Q132" s="244"/>
      <c r="R132" s="244"/>
      <c r="S132" s="244"/>
      <c r="T132" s="244"/>
      <c r="U132" s="244"/>
      <c r="V132" s="244"/>
      <c r="W132" s="244"/>
      <c r="X132" s="244"/>
      <c r="Y132" s="244"/>
      <c r="Z132" s="244"/>
      <c r="AA132" s="244"/>
      <c r="AB132" s="244"/>
      <c r="AC132" s="244"/>
    </row>
    <row r="133" spans="1:29" ht="54" customHeight="1" x14ac:dyDescent="0.25">
      <c r="A133" s="219"/>
      <c r="B133" s="249">
        <v>118</v>
      </c>
      <c r="C133" s="250" t="s">
        <v>1129</v>
      </c>
      <c r="D133" s="274" t="s">
        <v>1406</v>
      </c>
      <c r="E133" s="436" t="s">
        <v>901</v>
      </c>
      <c r="F133" s="437"/>
      <c r="G133" s="437"/>
      <c r="H133" s="437"/>
      <c r="I133" s="438"/>
      <c r="J133" s="244"/>
      <c r="K133" s="244"/>
      <c r="L133" s="244"/>
      <c r="M133" s="244"/>
      <c r="N133" s="244"/>
      <c r="O133" s="244"/>
      <c r="P133" s="244"/>
      <c r="Q133" s="244"/>
      <c r="R133" s="244"/>
      <c r="S133" s="244"/>
      <c r="T133" s="244"/>
      <c r="U133" s="244"/>
      <c r="V133" s="244"/>
      <c r="W133" s="244"/>
      <c r="X133" s="244"/>
      <c r="Y133" s="244"/>
      <c r="Z133" s="244"/>
      <c r="AA133" s="244"/>
      <c r="AB133" s="244"/>
      <c r="AC133" s="244"/>
    </row>
    <row r="134" spans="1:29" ht="54" customHeight="1" x14ac:dyDescent="0.25">
      <c r="A134" s="219"/>
      <c r="B134" s="249">
        <v>119</v>
      </c>
      <c r="C134" s="250" t="s">
        <v>1548</v>
      </c>
      <c r="D134" s="274" t="s">
        <v>1625</v>
      </c>
      <c r="E134" s="436" t="s">
        <v>902</v>
      </c>
      <c r="F134" s="437"/>
      <c r="G134" s="437"/>
      <c r="H134" s="437"/>
      <c r="I134" s="438"/>
      <c r="J134" s="244"/>
      <c r="K134" s="244"/>
      <c r="L134" s="244"/>
      <c r="M134" s="244"/>
      <c r="N134" s="244"/>
      <c r="O134" s="244"/>
      <c r="P134" s="244"/>
      <c r="Q134" s="244"/>
      <c r="R134" s="244"/>
      <c r="S134" s="244"/>
      <c r="T134" s="244"/>
      <c r="U134" s="244"/>
      <c r="V134" s="244"/>
      <c r="W134" s="244"/>
      <c r="X134" s="244"/>
      <c r="Y134" s="244"/>
      <c r="Z134" s="244"/>
      <c r="AA134" s="244"/>
      <c r="AB134" s="244"/>
      <c r="AC134" s="244"/>
    </row>
    <row r="135" spans="1:29" ht="54" customHeight="1" x14ac:dyDescent="0.25">
      <c r="A135" s="219"/>
      <c r="B135" s="249">
        <v>120</v>
      </c>
      <c r="C135" s="250" t="s">
        <v>1550</v>
      </c>
      <c r="D135" s="274" t="s">
        <v>1626</v>
      </c>
      <c r="E135" s="436" t="s">
        <v>900</v>
      </c>
      <c r="F135" s="437"/>
      <c r="G135" s="437"/>
      <c r="H135" s="437"/>
      <c r="I135" s="438"/>
      <c r="J135" s="244"/>
      <c r="K135" s="244"/>
      <c r="L135" s="244"/>
      <c r="M135" s="244"/>
      <c r="N135" s="244"/>
      <c r="O135" s="244"/>
      <c r="P135" s="244"/>
      <c r="Q135" s="244"/>
      <c r="R135" s="244"/>
      <c r="S135" s="244"/>
      <c r="T135" s="244"/>
      <c r="U135" s="244"/>
      <c r="V135" s="244"/>
      <c r="W135" s="244"/>
      <c r="X135" s="244"/>
      <c r="Y135" s="244"/>
      <c r="Z135" s="244"/>
      <c r="AA135" s="244"/>
      <c r="AB135" s="244"/>
      <c r="AC135" s="244"/>
    </row>
    <row r="136" spans="1:29" ht="54" customHeight="1" x14ac:dyDescent="0.25">
      <c r="A136" s="219"/>
      <c r="B136" s="249">
        <v>121</v>
      </c>
      <c r="C136" s="250" t="s">
        <v>1553</v>
      </c>
      <c r="D136" s="250" t="s">
        <v>1627</v>
      </c>
      <c r="E136" s="436" t="s">
        <v>901</v>
      </c>
      <c r="F136" s="437"/>
      <c r="G136" s="437"/>
      <c r="H136" s="437"/>
      <c r="I136" s="438"/>
      <c r="J136" s="244"/>
      <c r="K136" s="244"/>
      <c r="L136" s="244"/>
      <c r="M136" s="244"/>
      <c r="N136" s="244"/>
      <c r="O136" s="244"/>
      <c r="P136" s="244"/>
      <c r="Q136" s="244"/>
      <c r="R136" s="244"/>
      <c r="S136" s="244"/>
      <c r="T136" s="244"/>
      <c r="U136" s="244"/>
      <c r="V136" s="244"/>
      <c r="W136" s="244"/>
      <c r="X136" s="244"/>
      <c r="Y136" s="244"/>
      <c r="Z136" s="244"/>
      <c r="AA136" s="244"/>
      <c r="AB136" s="244"/>
      <c r="AC136" s="244"/>
    </row>
    <row r="137" spans="1:29" ht="54" customHeight="1" x14ac:dyDescent="0.25">
      <c r="A137" s="219"/>
      <c r="B137" s="249">
        <v>122</v>
      </c>
      <c r="C137" s="250" t="s">
        <v>1131</v>
      </c>
      <c r="D137" s="250" t="s">
        <v>1407</v>
      </c>
      <c r="E137" s="436" t="s">
        <v>898</v>
      </c>
      <c r="F137" s="437"/>
      <c r="G137" s="437"/>
      <c r="H137" s="437"/>
      <c r="I137" s="438"/>
      <c r="J137" s="244"/>
      <c r="K137" s="244"/>
      <c r="L137" s="244"/>
      <c r="M137" s="244"/>
      <c r="N137" s="244"/>
      <c r="O137" s="244"/>
      <c r="P137" s="244"/>
      <c r="Q137" s="244"/>
      <c r="R137" s="244"/>
      <c r="S137" s="244"/>
      <c r="T137" s="244"/>
      <c r="U137" s="244"/>
      <c r="V137" s="244"/>
      <c r="W137" s="244"/>
      <c r="X137" s="244"/>
      <c r="Y137" s="244"/>
      <c r="Z137" s="244"/>
      <c r="AA137" s="244"/>
      <c r="AB137" s="244"/>
      <c r="AC137" s="244"/>
    </row>
    <row r="138" spans="1:29" ht="54" customHeight="1" x14ac:dyDescent="0.25">
      <c r="A138" s="219"/>
      <c r="B138" s="249">
        <v>123</v>
      </c>
      <c r="C138" s="250" t="s">
        <v>725</v>
      </c>
      <c r="D138" s="274" t="s">
        <v>915</v>
      </c>
      <c r="E138" s="436" t="s">
        <v>898</v>
      </c>
      <c r="F138" s="437"/>
      <c r="G138" s="437"/>
      <c r="H138" s="437"/>
      <c r="I138" s="438"/>
      <c r="J138" s="244"/>
      <c r="K138" s="244"/>
      <c r="L138" s="244"/>
      <c r="M138" s="244"/>
      <c r="N138" s="244"/>
      <c r="O138" s="244"/>
      <c r="P138" s="244"/>
      <c r="Q138" s="244"/>
      <c r="R138" s="244"/>
      <c r="S138" s="244"/>
      <c r="T138" s="244"/>
      <c r="U138" s="244"/>
      <c r="V138" s="244"/>
      <c r="W138" s="244"/>
      <c r="X138" s="244"/>
      <c r="Y138" s="244"/>
      <c r="Z138" s="244"/>
      <c r="AA138" s="244"/>
      <c r="AB138" s="244"/>
      <c r="AC138" s="244"/>
    </row>
    <row r="139" spans="1:29" ht="54" customHeight="1" x14ac:dyDescent="0.25">
      <c r="A139" s="219"/>
      <c r="B139" s="249">
        <v>124</v>
      </c>
      <c r="C139" s="250" t="s">
        <v>720</v>
      </c>
      <c r="D139" s="250" t="s">
        <v>928</v>
      </c>
      <c r="E139" s="436" t="s">
        <v>901</v>
      </c>
      <c r="F139" s="437"/>
      <c r="G139" s="437"/>
      <c r="H139" s="437"/>
      <c r="I139" s="438"/>
      <c r="J139" s="244"/>
      <c r="K139" s="244"/>
      <c r="L139" s="244"/>
      <c r="M139" s="244"/>
      <c r="N139" s="244"/>
      <c r="O139" s="244"/>
      <c r="P139" s="244"/>
      <c r="Q139" s="244"/>
      <c r="R139" s="244"/>
      <c r="S139" s="244"/>
      <c r="T139" s="244"/>
      <c r="U139" s="244"/>
      <c r="V139" s="244"/>
      <c r="W139" s="244"/>
      <c r="X139" s="244"/>
      <c r="Y139" s="244"/>
      <c r="Z139" s="244"/>
      <c r="AA139" s="244"/>
      <c r="AB139" s="244"/>
      <c r="AC139" s="244"/>
    </row>
    <row r="140" spans="1:29" ht="54" customHeight="1" x14ac:dyDescent="0.25">
      <c r="A140" s="219"/>
      <c r="B140" s="249">
        <v>125</v>
      </c>
      <c r="C140" s="250" t="s">
        <v>1568</v>
      </c>
      <c r="D140" s="250" t="s">
        <v>1628</v>
      </c>
      <c r="E140" s="436" t="s">
        <v>901</v>
      </c>
      <c r="F140" s="437"/>
      <c r="G140" s="437"/>
      <c r="H140" s="437"/>
      <c r="I140" s="438"/>
      <c r="J140" s="244"/>
      <c r="K140" s="244"/>
      <c r="L140" s="244"/>
      <c r="M140" s="244"/>
      <c r="N140" s="244"/>
      <c r="O140" s="244"/>
      <c r="P140" s="244"/>
      <c r="Q140" s="244"/>
      <c r="R140" s="244"/>
      <c r="S140" s="244"/>
      <c r="T140" s="244"/>
      <c r="U140" s="244"/>
      <c r="V140" s="244"/>
      <c r="W140" s="244"/>
      <c r="X140" s="244"/>
      <c r="Y140" s="244"/>
      <c r="Z140" s="244"/>
      <c r="AA140" s="244"/>
      <c r="AB140" s="244"/>
      <c r="AC140" s="244"/>
    </row>
    <row r="141" spans="1:29" ht="54" customHeight="1" x14ac:dyDescent="0.25">
      <c r="A141" s="219"/>
      <c r="B141" s="249">
        <v>126</v>
      </c>
      <c r="C141" s="250" t="s">
        <v>1571</v>
      </c>
      <c r="D141" s="250" t="s">
        <v>1629</v>
      </c>
      <c r="E141" s="436" t="s">
        <v>926</v>
      </c>
      <c r="F141" s="437"/>
      <c r="G141" s="437"/>
      <c r="H141" s="437"/>
      <c r="I141" s="438"/>
      <c r="J141" s="244"/>
      <c r="K141" s="244"/>
      <c r="L141" s="244"/>
      <c r="M141" s="244"/>
      <c r="N141" s="244"/>
      <c r="O141" s="244"/>
      <c r="P141" s="244"/>
      <c r="Q141" s="244"/>
      <c r="R141" s="244"/>
      <c r="S141" s="244"/>
      <c r="T141" s="244"/>
      <c r="U141" s="244"/>
      <c r="V141" s="244"/>
      <c r="W141" s="244"/>
      <c r="X141" s="244"/>
      <c r="Y141" s="244"/>
      <c r="Z141" s="244"/>
      <c r="AA141" s="244"/>
      <c r="AB141" s="244"/>
      <c r="AC141" s="244"/>
    </row>
    <row r="142" spans="1:29" ht="54" customHeight="1" x14ac:dyDescent="0.25">
      <c r="A142" s="219"/>
      <c r="B142" s="249">
        <v>127</v>
      </c>
      <c r="C142" s="250" t="s">
        <v>1574</v>
      </c>
      <c r="D142" s="274" t="s">
        <v>1630</v>
      </c>
      <c r="E142" s="436" t="s">
        <v>898</v>
      </c>
      <c r="F142" s="437"/>
      <c r="G142" s="437"/>
      <c r="H142" s="437"/>
      <c r="I142" s="438"/>
      <c r="J142" s="244"/>
      <c r="K142" s="244"/>
      <c r="L142" s="244"/>
      <c r="M142" s="244"/>
      <c r="N142" s="244"/>
      <c r="O142" s="244"/>
      <c r="P142" s="244"/>
      <c r="Q142" s="244"/>
      <c r="R142" s="244"/>
      <c r="S142" s="244"/>
      <c r="T142" s="244"/>
      <c r="U142" s="244"/>
      <c r="V142" s="244"/>
      <c r="W142" s="244"/>
      <c r="X142" s="244"/>
      <c r="Y142" s="244"/>
      <c r="Z142" s="244"/>
      <c r="AA142" s="244"/>
      <c r="AB142" s="244"/>
      <c r="AC142" s="244"/>
    </row>
    <row r="143" spans="1:29" ht="54" customHeight="1" x14ac:dyDescent="0.25">
      <c r="A143" s="219"/>
      <c r="B143" s="249">
        <v>128</v>
      </c>
      <c r="C143" s="250" t="s">
        <v>1577</v>
      </c>
      <c r="D143" s="250" t="s">
        <v>1631</v>
      </c>
      <c r="E143" s="436" t="s">
        <v>901</v>
      </c>
      <c r="F143" s="437"/>
      <c r="G143" s="437"/>
      <c r="H143" s="437"/>
      <c r="I143" s="438"/>
      <c r="J143" s="244"/>
      <c r="K143" s="244"/>
      <c r="L143" s="244"/>
      <c r="M143" s="244"/>
      <c r="N143" s="244"/>
      <c r="O143" s="244"/>
      <c r="P143" s="244"/>
      <c r="Q143" s="244"/>
      <c r="R143" s="244"/>
      <c r="S143" s="244"/>
      <c r="T143" s="244"/>
      <c r="U143" s="244"/>
      <c r="V143" s="244"/>
      <c r="W143" s="244"/>
      <c r="X143" s="244"/>
      <c r="Y143" s="244"/>
      <c r="Z143" s="244"/>
      <c r="AA143" s="244"/>
      <c r="AB143" s="244"/>
      <c r="AC143" s="244"/>
    </row>
    <row r="144" spans="1:29" ht="54" customHeight="1" x14ac:dyDescent="0.25">
      <c r="A144" s="219"/>
      <c r="B144" s="249">
        <v>129</v>
      </c>
      <c r="C144" s="250" t="s">
        <v>1583</v>
      </c>
      <c r="D144" s="250" t="s">
        <v>1632</v>
      </c>
      <c r="E144" s="436" t="s">
        <v>900</v>
      </c>
      <c r="F144" s="437"/>
      <c r="G144" s="437"/>
      <c r="H144" s="437"/>
      <c r="I144" s="438"/>
      <c r="J144" s="244"/>
      <c r="K144" s="244"/>
      <c r="L144" s="244"/>
      <c r="M144" s="244"/>
      <c r="N144" s="244"/>
      <c r="O144" s="244"/>
      <c r="P144" s="244"/>
      <c r="Q144" s="244"/>
      <c r="R144" s="244"/>
      <c r="S144" s="244"/>
      <c r="T144" s="244"/>
      <c r="U144" s="244"/>
      <c r="V144" s="244"/>
      <c r="W144" s="244"/>
      <c r="X144" s="244"/>
      <c r="Y144" s="244"/>
      <c r="Z144" s="244"/>
      <c r="AA144" s="244"/>
      <c r="AB144" s="244"/>
      <c r="AC144" s="244"/>
    </row>
    <row r="145" spans="1:29" ht="54" customHeight="1" x14ac:dyDescent="0.25">
      <c r="A145" s="219"/>
      <c r="B145" s="249">
        <v>130</v>
      </c>
      <c r="C145" s="250" t="s">
        <v>688</v>
      </c>
      <c r="D145" s="250" t="s">
        <v>923</v>
      </c>
      <c r="E145" s="436" t="s">
        <v>900</v>
      </c>
      <c r="F145" s="437"/>
      <c r="G145" s="437"/>
      <c r="H145" s="437"/>
      <c r="I145" s="438"/>
      <c r="J145" s="244"/>
      <c r="K145" s="244"/>
      <c r="L145" s="244"/>
      <c r="M145" s="244"/>
      <c r="N145" s="244"/>
      <c r="O145" s="244"/>
      <c r="P145" s="244"/>
      <c r="Q145" s="244"/>
      <c r="R145" s="244"/>
      <c r="S145" s="244"/>
      <c r="T145" s="244"/>
      <c r="U145" s="244"/>
      <c r="V145" s="244"/>
      <c r="W145" s="244"/>
      <c r="X145" s="244"/>
      <c r="Y145" s="244"/>
      <c r="Z145" s="244"/>
      <c r="AA145" s="244"/>
      <c r="AB145" s="244"/>
      <c r="AC145" s="244"/>
    </row>
    <row r="146" spans="1:29" ht="54" customHeight="1" x14ac:dyDescent="0.25">
      <c r="A146" s="219"/>
      <c r="B146" s="249">
        <v>131</v>
      </c>
      <c r="C146" s="250" t="s">
        <v>724</v>
      </c>
      <c r="D146" s="250" t="s">
        <v>929</v>
      </c>
      <c r="E146" s="436" t="s">
        <v>898</v>
      </c>
      <c r="F146" s="437"/>
      <c r="G146" s="437"/>
      <c r="H146" s="437"/>
      <c r="I146" s="438"/>
      <c r="J146" s="244"/>
      <c r="K146" s="244"/>
      <c r="L146" s="244"/>
      <c r="M146" s="244"/>
      <c r="N146" s="244"/>
      <c r="O146" s="244"/>
      <c r="P146" s="244"/>
      <c r="Q146" s="244"/>
      <c r="R146" s="244"/>
      <c r="S146" s="244"/>
      <c r="T146" s="244"/>
      <c r="U146" s="244"/>
      <c r="V146" s="244"/>
      <c r="W146" s="244"/>
      <c r="X146" s="244"/>
      <c r="Y146" s="244"/>
      <c r="Z146" s="244"/>
      <c r="AA146" s="244"/>
      <c r="AB146" s="244"/>
      <c r="AC146" s="244"/>
    </row>
    <row r="147" spans="1:29" ht="54" customHeight="1" x14ac:dyDescent="0.25">
      <c r="A147" s="219"/>
      <c r="B147" s="249">
        <v>132</v>
      </c>
      <c r="C147" s="250" t="s">
        <v>966</v>
      </c>
      <c r="D147" s="250" t="s">
        <v>1408</v>
      </c>
      <c r="E147" s="436" t="s">
        <v>900</v>
      </c>
      <c r="F147" s="437"/>
      <c r="G147" s="437"/>
      <c r="H147" s="437"/>
      <c r="I147" s="438"/>
      <c r="J147" s="244"/>
      <c r="K147" s="244"/>
      <c r="L147" s="244"/>
      <c r="M147" s="244"/>
      <c r="N147" s="244"/>
      <c r="O147" s="244"/>
      <c r="P147" s="244"/>
      <c r="Q147" s="244"/>
      <c r="R147" s="244"/>
      <c r="S147" s="244"/>
      <c r="T147" s="244"/>
      <c r="U147" s="244"/>
      <c r="V147" s="244"/>
      <c r="W147" s="244"/>
      <c r="X147" s="244"/>
      <c r="Y147" s="244"/>
      <c r="Z147" s="244"/>
      <c r="AA147" s="244"/>
      <c r="AB147" s="244"/>
      <c r="AC147" s="244"/>
    </row>
    <row r="148" spans="1:29" ht="54" customHeight="1" x14ac:dyDescent="0.25">
      <c r="A148" s="219"/>
      <c r="B148" s="249">
        <v>133</v>
      </c>
      <c r="C148" s="250" t="s">
        <v>968</v>
      </c>
      <c r="D148" s="250" t="s">
        <v>1409</v>
      </c>
      <c r="E148" s="436" t="s">
        <v>901</v>
      </c>
      <c r="F148" s="437"/>
      <c r="G148" s="437"/>
      <c r="H148" s="437"/>
      <c r="I148" s="438"/>
      <c r="J148" s="244"/>
      <c r="K148" s="244"/>
      <c r="L148" s="244"/>
      <c r="M148" s="244"/>
      <c r="N148" s="244"/>
      <c r="O148" s="244"/>
      <c r="P148" s="244"/>
      <c r="Q148" s="244"/>
      <c r="R148" s="244"/>
      <c r="S148" s="244"/>
      <c r="T148" s="244"/>
      <c r="U148" s="244"/>
      <c r="V148" s="244"/>
      <c r="W148" s="244"/>
      <c r="X148" s="244"/>
      <c r="Y148" s="244"/>
      <c r="Z148" s="244"/>
      <c r="AA148" s="244"/>
      <c r="AB148" s="244"/>
      <c r="AC148" s="244"/>
    </row>
    <row r="149" spans="1:29" ht="54" customHeight="1" x14ac:dyDescent="0.25">
      <c r="A149" s="219"/>
      <c r="B149" s="249">
        <v>134</v>
      </c>
      <c r="C149" s="250" t="s">
        <v>1587</v>
      </c>
      <c r="D149" s="250" t="s">
        <v>1605</v>
      </c>
      <c r="E149" s="436" t="s">
        <v>898</v>
      </c>
      <c r="F149" s="437"/>
      <c r="G149" s="437"/>
      <c r="H149" s="437"/>
      <c r="I149" s="438"/>
      <c r="J149" s="244"/>
      <c r="K149" s="244"/>
      <c r="L149" s="244"/>
      <c r="M149" s="244"/>
      <c r="N149" s="244"/>
      <c r="O149" s="244"/>
      <c r="P149" s="244"/>
      <c r="Q149" s="244"/>
      <c r="R149" s="244"/>
      <c r="S149" s="244"/>
      <c r="T149" s="244"/>
      <c r="U149" s="244"/>
      <c r="V149" s="244"/>
      <c r="W149" s="244"/>
      <c r="X149" s="244"/>
      <c r="Y149" s="244"/>
      <c r="Z149" s="244"/>
      <c r="AA149" s="244"/>
      <c r="AB149" s="244"/>
      <c r="AC149" s="244"/>
    </row>
    <row r="150" spans="1:29" ht="54" customHeight="1" x14ac:dyDescent="0.25">
      <c r="A150" s="219"/>
      <c r="B150" s="249">
        <v>135</v>
      </c>
      <c r="C150" s="250" t="s">
        <v>394</v>
      </c>
      <c r="D150" s="250" t="s">
        <v>931</v>
      </c>
      <c r="E150" s="436" t="s">
        <v>901</v>
      </c>
      <c r="F150" s="437"/>
      <c r="G150" s="437"/>
      <c r="H150" s="437"/>
      <c r="I150" s="438"/>
      <c r="J150" s="244"/>
      <c r="K150" s="244"/>
      <c r="L150" s="244"/>
      <c r="M150" s="244"/>
      <c r="N150" s="244"/>
      <c r="O150" s="244"/>
      <c r="P150" s="244"/>
      <c r="Q150" s="244"/>
      <c r="R150" s="244"/>
      <c r="S150" s="244"/>
      <c r="T150" s="244"/>
      <c r="U150" s="244"/>
      <c r="V150" s="244"/>
      <c r="W150" s="244"/>
      <c r="X150" s="244"/>
      <c r="Y150" s="244"/>
      <c r="Z150" s="244"/>
      <c r="AA150" s="244"/>
      <c r="AB150" s="244"/>
      <c r="AC150" s="244"/>
    </row>
    <row r="151" spans="1:29" ht="54" customHeight="1" x14ac:dyDescent="0.25">
      <c r="A151" s="219"/>
      <c r="B151" s="249">
        <v>136</v>
      </c>
      <c r="C151" s="250" t="s">
        <v>1589</v>
      </c>
      <c r="D151" s="250" t="s">
        <v>1633</v>
      </c>
      <c r="E151" s="436" t="s">
        <v>900</v>
      </c>
      <c r="F151" s="437"/>
      <c r="G151" s="437"/>
      <c r="H151" s="437"/>
      <c r="I151" s="438"/>
      <c r="J151" s="244"/>
      <c r="K151" s="244"/>
      <c r="L151" s="244"/>
      <c r="M151" s="244"/>
      <c r="N151" s="244"/>
      <c r="O151" s="244"/>
      <c r="P151" s="244"/>
      <c r="Q151" s="244"/>
      <c r="R151" s="244"/>
      <c r="S151" s="244"/>
      <c r="T151" s="244"/>
      <c r="U151" s="244"/>
      <c r="V151" s="244"/>
      <c r="W151" s="244"/>
      <c r="X151" s="244"/>
      <c r="Y151" s="244"/>
      <c r="Z151" s="244"/>
      <c r="AA151" s="244"/>
      <c r="AB151" s="244"/>
      <c r="AC151" s="244"/>
    </row>
    <row r="152" spans="1:29" ht="54" customHeight="1" x14ac:dyDescent="0.25">
      <c r="A152" s="219"/>
      <c r="B152" s="249">
        <v>137</v>
      </c>
      <c r="C152" s="250" t="s">
        <v>224</v>
      </c>
      <c r="D152" s="250" t="s">
        <v>932</v>
      </c>
      <c r="E152" s="436" t="s">
        <v>900</v>
      </c>
      <c r="F152" s="437"/>
      <c r="G152" s="437"/>
      <c r="H152" s="437"/>
      <c r="I152" s="438"/>
      <c r="J152" s="244"/>
      <c r="K152" s="244"/>
      <c r="L152" s="244"/>
      <c r="M152" s="244"/>
      <c r="N152" s="244"/>
      <c r="O152" s="244"/>
      <c r="P152" s="244"/>
      <c r="Q152" s="244"/>
      <c r="R152" s="244"/>
      <c r="S152" s="244"/>
      <c r="T152" s="244"/>
      <c r="U152" s="244"/>
      <c r="V152" s="244"/>
      <c r="W152" s="244"/>
      <c r="X152" s="244"/>
      <c r="Y152" s="244"/>
      <c r="Z152" s="244"/>
      <c r="AA152" s="244"/>
      <c r="AB152" s="244"/>
      <c r="AC152" s="244"/>
    </row>
    <row r="153" spans="1:29" ht="54" customHeight="1" x14ac:dyDescent="0.25">
      <c r="A153" s="219"/>
      <c r="B153" s="249">
        <v>138</v>
      </c>
      <c r="C153" s="250" t="s">
        <v>226</v>
      </c>
      <c r="D153" s="250" t="s">
        <v>933</v>
      </c>
      <c r="E153" s="436" t="s">
        <v>900</v>
      </c>
      <c r="F153" s="437"/>
      <c r="G153" s="437"/>
      <c r="H153" s="437"/>
      <c r="I153" s="438"/>
      <c r="J153" s="244"/>
      <c r="K153" s="244"/>
      <c r="L153" s="244"/>
      <c r="M153" s="244"/>
      <c r="N153" s="244"/>
      <c r="O153" s="244"/>
      <c r="P153" s="244"/>
      <c r="Q153" s="244"/>
      <c r="R153" s="244"/>
      <c r="S153" s="244"/>
      <c r="T153" s="244"/>
      <c r="U153" s="244"/>
      <c r="V153" s="244"/>
      <c r="W153" s="244"/>
      <c r="X153" s="244"/>
      <c r="Y153" s="244"/>
      <c r="Z153" s="244"/>
      <c r="AA153" s="244"/>
      <c r="AB153" s="244"/>
      <c r="AC153" s="244"/>
    </row>
    <row r="154" spans="1:29" ht="54" customHeight="1" x14ac:dyDescent="0.25">
      <c r="A154" s="219"/>
      <c r="B154" s="249">
        <v>139</v>
      </c>
      <c r="C154" s="250" t="s">
        <v>1143</v>
      </c>
      <c r="D154" s="250" t="s">
        <v>1410</v>
      </c>
      <c r="E154" s="436" t="s">
        <v>901</v>
      </c>
      <c r="F154" s="437"/>
      <c r="G154" s="437"/>
      <c r="H154" s="437"/>
      <c r="I154" s="438"/>
      <c r="J154" s="244"/>
      <c r="K154" s="244"/>
      <c r="L154" s="244"/>
      <c r="M154" s="244"/>
      <c r="N154" s="244"/>
      <c r="O154" s="244"/>
      <c r="P154" s="244"/>
      <c r="Q154" s="244"/>
      <c r="R154" s="244"/>
      <c r="S154" s="244"/>
      <c r="T154" s="244"/>
      <c r="U154" s="244"/>
      <c r="V154" s="244"/>
      <c r="W154" s="244"/>
      <c r="X154" s="244"/>
      <c r="Y154" s="244"/>
      <c r="Z154" s="244"/>
      <c r="AA154" s="244"/>
      <c r="AB154" s="244"/>
      <c r="AC154" s="244"/>
    </row>
    <row r="155" spans="1:29" ht="54" customHeight="1" x14ac:dyDescent="0.25">
      <c r="A155" s="219"/>
      <c r="B155" s="249">
        <v>140</v>
      </c>
      <c r="C155" s="250" t="s">
        <v>1145</v>
      </c>
      <c r="D155" s="250" t="s">
        <v>1411</v>
      </c>
      <c r="E155" s="436" t="s">
        <v>900</v>
      </c>
      <c r="F155" s="437"/>
      <c r="G155" s="437"/>
      <c r="H155" s="437"/>
      <c r="I155" s="438"/>
      <c r="J155" s="244"/>
      <c r="K155" s="244"/>
      <c r="L155" s="244"/>
      <c r="M155" s="244"/>
      <c r="N155" s="244"/>
      <c r="O155" s="244"/>
      <c r="P155" s="244"/>
      <c r="Q155" s="244"/>
      <c r="R155" s="244"/>
      <c r="S155" s="244"/>
      <c r="T155" s="244"/>
      <c r="U155" s="244"/>
      <c r="V155" s="244"/>
      <c r="W155" s="244"/>
      <c r="X155" s="244"/>
      <c r="Y155" s="244"/>
      <c r="Z155" s="244"/>
      <c r="AA155" s="244"/>
      <c r="AB155" s="244"/>
      <c r="AC155" s="244"/>
    </row>
    <row r="156" spans="1:29" ht="54" customHeight="1" x14ac:dyDescent="0.25">
      <c r="A156" s="219"/>
      <c r="B156" s="249">
        <v>141</v>
      </c>
      <c r="C156" s="250" t="s">
        <v>880</v>
      </c>
      <c r="D156" s="250" t="s">
        <v>957</v>
      </c>
      <c r="E156" s="436" t="s">
        <v>902</v>
      </c>
      <c r="F156" s="437"/>
      <c r="G156" s="437"/>
      <c r="H156" s="437"/>
      <c r="I156" s="438"/>
      <c r="J156" s="244"/>
      <c r="K156" s="244"/>
      <c r="L156" s="244"/>
      <c r="M156" s="244"/>
      <c r="N156" s="244"/>
      <c r="O156" s="244"/>
      <c r="P156" s="244"/>
      <c r="Q156" s="244"/>
      <c r="R156" s="244"/>
      <c r="S156" s="244"/>
      <c r="T156" s="244"/>
      <c r="U156" s="244"/>
      <c r="V156" s="244"/>
      <c r="W156" s="244"/>
      <c r="X156" s="244"/>
      <c r="Y156" s="244"/>
      <c r="Z156" s="244"/>
      <c r="AA156" s="244"/>
      <c r="AB156" s="244"/>
      <c r="AC156" s="244"/>
    </row>
    <row r="157" spans="1:29" ht="54" customHeight="1" x14ac:dyDescent="0.25">
      <c r="A157" s="219"/>
      <c r="B157" s="249">
        <v>142</v>
      </c>
      <c r="C157" s="250" t="s">
        <v>881</v>
      </c>
      <c r="D157" s="250" t="s">
        <v>935</v>
      </c>
      <c r="E157" s="436" t="s">
        <v>900</v>
      </c>
      <c r="F157" s="437"/>
      <c r="G157" s="437"/>
      <c r="H157" s="437"/>
      <c r="I157" s="438"/>
      <c r="J157" s="244"/>
      <c r="K157" s="244"/>
      <c r="L157" s="244"/>
      <c r="M157" s="244"/>
      <c r="N157" s="244"/>
      <c r="O157" s="244"/>
      <c r="P157" s="244"/>
      <c r="Q157" s="244"/>
      <c r="R157" s="244"/>
      <c r="S157" s="244"/>
      <c r="T157" s="244"/>
      <c r="U157" s="244"/>
      <c r="V157" s="244"/>
      <c r="W157" s="244"/>
      <c r="X157" s="244"/>
      <c r="Y157" s="244"/>
      <c r="Z157" s="244"/>
      <c r="AA157" s="244"/>
      <c r="AB157" s="244"/>
      <c r="AC157" s="244"/>
    </row>
    <row r="158" spans="1:29" ht="54" customHeight="1" x14ac:dyDescent="0.25">
      <c r="A158" s="219"/>
      <c r="B158" s="249">
        <v>143</v>
      </c>
      <c r="C158" s="250" t="s">
        <v>1148</v>
      </c>
      <c r="D158" s="250" t="s">
        <v>1412</v>
      </c>
      <c r="E158" s="436" t="s">
        <v>900</v>
      </c>
      <c r="F158" s="437"/>
      <c r="G158" s="437"/>
      <c r="H158" s="437"/>
      <c r="I158" s="438"/>
      <c r="J158" s="244"/>
      <c r="K158" s="244"/>
      <c r="L158" s="244"/>
      <c r="M158" s="244"/>
      <c r="N158" s="244"/>
      <c r="O158" s="244"/>
      <c r="P158" s="244"/>
      <c r="Q158" s="244"/>
      <c r="R158" s="244"/>
      <c r="S158" s="244"/>
      <c r="T158" s="244"/>
      <c r="U158" s="244"/>
      <c r="V158" s="244"/>
      <c r="W158" s="244"/>
      <c r="X158" s="244"/>
      <c r="Y158" s="244"/>
      <c r="Z158" s="244"/>
      <c r="AA158" s="244"/>
      <c r="AB158" s="244"/>
      <c r="AC158" s="244"/>
    </row>
    <row r="159" spans="1:29" ht="54" customHeight="1" x14ac:dyDescent="0.25">
      <c r="A159" s="219"/>
      <c r="B159" s="249">
        <v>144</v>
      </c>
      <c r="C159" s="250" t="s">
        <v>1150</v>
      </c>
      <c r="D159" s="250" t="s">
        <v>1413</v>
      </c>
      <c r="E159" s="436" t="s">
        <v>901</v>
      </c>
      <c r="F159" s="437"/>
      <c r="G159" s="437"/>
      <c r="H159" s="437"/>
      <c r="I159" s="438"/>
      <c r="J159" s="244"/>
      <c r="K159" s="244"/>
      <c r="L159" s="244"/>
      <c r="M159" s="244"/>
      <c r="N159" s="244"/>
      <c r="O159" s="244"/>
      <c r="P159" s="244"/>
      <c r="Q159" s="244"/>
      <c r="R159" s="244"/>
      <c r="S159" s="244"/>
      <c r="T159" s="244"/>
      <c r="U159" s="244"/>
      <c r="V159" s="244"/>
      <c r="W159" s="244"/>
      <c r="X159" s="244"/>
      <c r="Y159" s="244"/>
      <c r="Z159" s="244"/>
      <c r="AA159" s="244"/>
      <c r="AB159" s="244"/>
      <c r="AC159" s="244"/>
    </row>
    <row r="160" spans="1:29" ht="54" customHeight="1" x14ac:dyDescent="0.25">
      <c r="A160" s="219"/>
      <c r="B160" s="249">
        <v>145</v>
      </c>
      <c r="C160" s="250" t="s">
        <v>1152</v>
      </c>
      <c r="D160" s="250" t="s">
        <v>1414</v>
      </c>
      <c r="E160" s="436" t="s">
        <v>901</v>
      </c>
      <c r="F160" s="437"/>
      <c r="G160" s="437"/>
      <c r="H160" s="437"/>
      <c r="I160" s="438"/>
      <c r="J160" s="244"/>
      <c r="K160" s="244"/>
      <c r="L160" s="244"/>
      <c r="M160" s="244"/>
      <c r="N160" s="244"/>
      <c r="O160" s="244"/>
      <c r="P160" s="244"/>
      <c r="Q160" s="244"/>
      <c r="R160" s="244"/>
      <c r="S160" s="244"/>
      <c r="T160" s="244"/>
      <c r="U160" s="244"/>
      <c r="V160" s="244"/>
      <c r="W160" s="244"/>
      <c r="X160" s="244"/>
      <c r="Y160" s="244"/>
      <c r="Z160" s="244"/>
      <c r="AA160" s="244"/>
      <c r="AB160" s="244"/>
      <c r="AC160" s="244"/>
    </row>
    <row r="161" spans="1:29" ht="54" customHeight="1" x14ac:dyDescent="0.25">
      <c r="A161" s="219"/>
      <c r="B161" s="249">
        <v>146</v>
      </c>
      <c r="C161" s="250" t="s">
        <v>1154</v>
      </c>
      <c r="D161" s="250" t="s">
        <v>1415</v>
      </c>
      <c r="E161" s="436" t="s">
        <v>900</v>
      </c>
      <c r="F161" s="437"/>
      <c r="G161" s="437"/>
      <c r="H161" s="437"/>
      <c r="I161" s="438"/>
      <c r="J161" s="244"/>
      <c r="K161" s="244"/>
      <c r="L161" s="244"/>
      <c r="M161" s="244"/>
      <c r="N161" s="244"/>
      <c r="O161" s="244"/>
      <c r="P161" s="244"/>
      <c r="Q161" s="244"/>
      <c r="R161" s="244"/>
      <c r="S161" s="244"/>
      <c r="T161" s="244"/>
      <c r="U161" s="244"/>
      <c r="V161" s="244"/>
      <c r="W161" s="244"/>
      <c r="X161" s="244"/>
      <c r="Y161" s="244"/>
      <c r="Z161" s="244"/>
      <c r="AA161" s="244"/>
      <c r="AB161" s="244"/>
      <c r="AC161" s="244"/>
    </row>
    <row r="162" spans="1:29" ht="54" customHeight="1" x14ac:dyDescent="0.25">
      <c r="A162" s="219"/>
      <c r="B162" s="249">
        <v>147</v>
      </c>
      <c r="C162" s="250" t="s">
        <v>1156</v>
      </c>
      <c r="D162" s="250" t="s">
        <v>1416</v>
      </c>
      <c r="E162" s="436" t="s">
        <v>900</v>
      </c>
      <c r="F162" s="437"/>
      <c r="G162" s="437"/>
      <c r="H162" s="437"/>
      <c r="I162" s="438"/>
      <c r="J162" s="244"/>
      <c r="K162" s="244"/>
      <c r="L162" s="244"/>
      <c r="M162" s="244"/>
      <c r="N162" s="244"/>
      <c r="O162" s="244"/>
      <c r="P162" s="244"/>
      <c r="Q162" s="244"/>
      <c r="R162" s="244"/>
      <c r="S162" s="244"/>
      <c r="T162" s="244"/>
      <c r="U162" s="244"/>
      <c r="V162" s="244"/>
      <c r="W162" s="244"/>
      <c r="X162" s="244"/>
      <c r="Y162" s="244"/>
      <c r="Z162" s="244"/>
      <c r="AA162" s="244"/>
      <c r="AB162" s="244"/>
      <c r="AC162" s="244"/>
    </row>
    <row r="163" spans="1:29" ht="54" customHeight="1" x14ac:dyDescent="0.25">
      <c r="A163" s="219"/>
      <c r="B163" s="249">
        <v>148</v>
      </c>
      <c r="C163" s="250" t="s">
        <v>1158</v>
      </c>
      <c r="D163" s="250" t="s">
        <v>1417</v>
      </c>
      <c r="E163" s="436" t="s">
        <v>900</v>
      </c>
      <c r="F163" s="437"/>
      <c r="G163" s="437"/>
      <c r="H163" s="437"/>
      <c r="I163" s="438"/>
      <c r="J163" s="244"/>
      <c r="K163" s="244"/>
      <c r="L163" s="244"/>
      <c r="M163" s="244"/>
      <c r="N163" s="244"/>
      <c r="O163" s="244"/>
      <c r="P163" s="244"/>
      <c r="Q163" s="244"/>
      <c r="R163" s="244"/>
      <c r="S163" s="244"/>
      <c r="T163" s="244"/>
      <c r="U163" s="244"/>
      <c r="V163" s="244"/>
      <c r="W163" s="244"/>
      <c r="X163" s="244"/>
      <c r="Y163" s="244"/>
      <c r="Z163" s="244"/>
      <c r="AA163" s="244"/>
      <c r="AB163" s="244"/>
      <c r="AC163" s="244"/>
    </row>
    <row r="164" spans="1:29" ht="54" customHeight="1" x14ac:dyDescent="0.25">
      <c r="A164" s="219"/>
      <c r="B164" s="249">
        <v>149</v>
      </c>
      <c r="C164" s="250" t="s">
        <v>1435</v>
      </c>
      <c r="D164" s="250" t="s">
        <v>1634</v>
      </c>
      <c r="E164" s="436" t="s">
        <v>900</v>
      </c>
      <c r="F164" s="437"/>
      <c r="G164" s="437"/>
      <c r="H164" s="437"/>
      <c r="I164" s="438"/>
      <c r="J164" s="244"/>
      <c r="K164" s="244"/>
      <c r="L164" s="244"/>
      <c r="M164" s="244"/>
      <c r="N164" s="244"/>
      <c r="O164" s="244"/>
      <c r="P164" s="244"/>
      <c r="Q164" s="244"/>
      <c r="R164" s="244"/>
      <c r="S164" s="244"/>
      <c r="T164" s="244"/>
      <c r="U164" s="244"/>
      <c r="V164" s="244"/>
      <c r="W164" s="244"/>
      <c r="X164" s="244"/>
      <c r="Y164" s="244"/>
      <c r="Z164" s="244"/>
      <c r="AA164" s="244"/>
      <c r="AB164" s="244"/>
      <c r="AC164" s="244"/>
    </row>
    <row r="165" spans="1:29" ht="54" customHeight="1" x14ac:dyDescent="0.25">
      <c r="A165" s="219"/>
      <c r="B165" s="249">
        <v>150</v>
      </c>
      <c r="C165" s="250" t="s">
        <v>688</v>
      </c>
      <c r="D165" s="250" t="s">
        <v>923</v>
      </c>
      <c r="E165" s="436" t="s">
        <v>900</v>
      </c>
      <c r="F165" s="437"/>
      <c r="G165" s="437"/>
      <c r="H165" s="437"/>
      <c r="I165" s="438"/>
      <c r="J165" s="244"/>
      <c r="K165" s="244"/>
      <c r="L165" s="244"/>
      <c r="M165" s="244"/>
      <c r="N165" s="244"/>
      <c r="O165" s="244"/>
      <c r="P165" s="244"/>
      <c r="Q165" s="244"/>
      <c r="R165" s="244"/>
      <c r="S165" s="244"/>
      <c r="T165" s="244"/>
      <c r="U165" s="244"/>
      <c r="V165" s="244"/>
      <c r="W165" s="244"/>
      <c r="X165" s="244"/>
      <c r="Y165" s="244"/>
      <c r="Z165" s="244"/>
      <c r="AA165" s="244"/>
      <c r="AB165" s="244"/>
      <c r="AC165" s="244"/>
    </row>
    <row r="166" spans="1:29" ht="54" customHeight="1" x14ac:dyDescent="0.25">
      <c r="A166" s="219"/>
      <c r="B166" s="249">
        <v>151</v>
      </c>
      <c r="C166" s="250" t="s">
        <v>737</v>
      </c>
      <c r="D166" s="250" t="s">
        <v>930</v>
      </c>
      <c r="E166" s="436" t="s">
        <v>898</v>
      </c>
      <c r="F166" s="437"/>
      <c r="G166" s="437"/>
      <c r="H166" s="437"/>
      <c r="I166" s="438"/>
      <c r="J166" s="244"/>
      <c r="K166" s="244"/>
      <c r="L166" s="244"/>
      <c r="M166" s="244"/>
      <c r="N166" s="244"/>
      <c r="O166" s="244"/>
      <c r="P166" s="244"/>
      <c r="Q166" s="244"/>
      <c r="R166" s="244"/>
      <c r="S166" s="244"/>
      <c r="T166" s="244"/>
      <c r="U166" s="244"/>
      <c r="V166" s="244"/>
      <c r="W166" s="244"/>
      <c r="X166" s="244"/>
      <c r="Y166" s="244"/>
      <c r="Z166" s="244"/>
      <c r="AA166" s="244"/>
      <c r="AB166" s="244"/>
      <c r="AC166" s="244"/>
    </row>
    <row r="167" spans="1:29" ht="54" customHeight="1" x14ac:dyDescent="0.25">
      <c r="A167" s="219"/>
      <c r="B167" s="249">
        <v>152</v>
      </c>
      <c r="C167" s="250" t="s">
        <v>1437</v>
      </c>
      <c r="D167" s="250" t="s">
        <v>1421</v>
      </c>
      <c r="E167" s="436" t="s">
        <v>1422</v>
      </c>
      <c r="F167" s="437"/>
      <c r="G167" s="437"/>
      <c r="H167" s="437"/>
      <c r="I167" s="438"/>
      <c r="J167" s="244"/>
      <c r="K167" s="244"/>
      <c r="L167" s="244"/>
      <c r="M167" s="244"/>
      <c r="N167" s="244"/>
      <c r="O167" s="244"/>
      <c r="P167" s="244"/>
      <c r="Q167" s="244"/>
      <c r="R167" s="244"/>
      <c r="S167" s="244"/>
      <c r="T167" s="244"/>
      <c r="U167" s="244"/>
      <c r="V167" s="244"/>
      <c r="W167" s="244"/>
      <c r="X167" s="244"/>
      <c r="Y167" s="244"/>
      <c r="Z167" s="244"/>
      <c r="AA167" s="244"/>
      <c r="AB167" s="244"/>
      <c r="AC167" s="244"/>
    </row>
    <row r="168" spans="1:29" ht="54" customHeight="1" x14ac:dyDescent="0.25">
      <c r="A168" s="219"/>
      <c r="B168" s="249">
        <v>153</v>
      </c>
      <c r="C168" s="250" t="s">
        <v>1166</v>
      </c>
      <c r="D168" s="250" t="s">
        <v>1418</v>
      </c>
      <c r="E168" s="436" t="s">
        <v>901</v>
      </c>
      <c r="F168" s="437"/>
      <c r="G168" s="437"/>
      <c r="H168" s="437"/>
      <c r="I168" s="438"/>
      <c r="J168" s="244"/>
      <c r="K168" s="244"/>
      <c r="L168" s="244"/>
      <c r="M168" s="244"/>
      <c r="N168" s="244"/>
      <c r="O168" s="244"/>
      <c r="P168" s="244"/>
      <c r="Q168" s="244"/>
      <c r="R168" s="244"/>
      <c r="S168" s="244"/>
      <c r="T168" s="244"/>
      <c r="U168" s="244"/>
      <c r="V168" s="244"/>
      <c r="W168" s="244"/>
      <c r="X168" s="244"/>
      <c r="Y168" s="244"/>
      <c r="Z168" s="244"/>
      <c r="AA168" s="244"/>
      <c r="AB168" s="244"/>
      <c r="AC168" s="244"/>
    </row>
    <row r="169" spans="1:29" ht="54" customHeight="1" x14ac:dyDescent="0.25">
      <c r="A169" s="219"/>
      <c r="B169" s="249">
        <v>154</v>
      </c>
      <c r="C169" s="250" t="s">
        <v>863</v>
      </c>
      <c r="D169" s="250" t="s">
        <v>939</v>
      </c>
      <c r="E169" s="436" t="s">
        <v>901</v>
      </c>
      <c r="F169" s="437"/>
      <c r="G169" s="437"/>
      <c r="H169" s="437"/>
      <c r="I169" s="438"/>
      <c r="J169" s="244"/>
      <c r="K169" s="244"/>
      <c r="L169" s="244"/>
      <c r="M169" s="244"/>
      <c r="N169" s="244"/>
      <c r="O169" s="244"/>
      <c r="P169" s="244"/>
      <c r="Q169" s="244"/>
      <c r="R169" s="244"/>
      <c r="S169" s="244"/>
      <c r="T169" s="244"/>
      <c r="U169" s="244"/>
      <c r="V169" s="244"/>
      <c r="W169" s="244"/>
      <c r="X169" s="244"/>
      <c r="Y169" s="244"/>
      <c r="Z169" s="244"/>
      <c r="AA169" s="244"/>
      <c r="AB169" s="244"/>
      <c r="AC169" s="244"/>
    </row>
    <row r="170" spans="1:29" ht="54" customHeight="1" x14ac:dyDescent="0.25">
      <c r="A170" s="219"/>
      <c r="B170" s="249">
        <v>155</v>
      </c>
      <c r="C170" s="250" t="s">
        <v>287</v>
      </c>
      <c r="D170" s="250" t="s">
        <v>934</v>
      </c>
      <c r="E170" s="436" t="s">
        <v>901</v>
      </c>
      <c r="F170" s="437"/>
      <c r="G170" s="437"/>
      <c r="H170" s="437"/>
      <c r="I170" s="438"/>
      <c r="J170" s="244"/>
      <c r="K170" s="244"/>
      <c r="L170" s="244"/>
      <c r="M170" s="244"/>
      <c r="N170" s="244"/>
      <c r="O170" s="244"/>
      <c r="P170" s="244"/>
      <c r="Q170" s="244"/>
      <c r="R170" s="244"/>
      <c r="S170" s="244"/>
      <c r="T170" s="244"/>
      <c r="U170" s="244"/>
      <c r="V170" s="244"/>
      <c r="W170" s="244"/>
      <c r="X170" s="244"/>
      <c r="Y170" s="244"/>
      <c r="Z170" s="244"/>
      <c r="AA170" s="244"/>
      <c r="AB170" s="244"/>
      <c r="AC170" s="244"/>
    </row>
    <row r="171" spans="1:29" ht="54" customHeight="1" x14ac:dyDescent="0.25">
      <c r="A171" s="219"/>
      <c r="B171" s="249">
        <v>156</v>
      </c>
      <c r="C171" s="250" t="s">
        <v>307</v>
      </c>
      <c r="D171" s="250" t="s">
        <v>1419</v>
      </c>
      <c r="E171" s="436" t="s">
        <v>901</v>
      </c>
      <c r="F171" s="437"/>
      <c r="G171" s="437"/>
      <c r="H171" s="437"/>
      <c r="I171" s="438"/>
      <c r="J171" s="244"/>
      <c r="K171" s="244"/>
      <c r="L171" s="244"/>
      <c r="M171" s="244"/>
      <c r="N171" s="244"/>
      <c r="O171" s="244"/>
      <c r="P171" s="244"/>
      <c r="Q171" s="244"/>
      <c r="R171" s="244"/>
      <c r="S171" s="244"/>
      <c r="T171" s="244"/>
      <c r="U171" s="244"/>
      <c r="V171" s="244"/>
      <c r="W171" s="244"/>
      <c r="X171" s="244"/>
      <c r="Y171" s="244"/>
      <c r="Z171" s="244"/>
      <c r="AA171" s="244"/>
      <c r="AB171" s="244"/>
      <c r="AC171" s="244"/>
    </row>
    <row r="172" spans="1:29" ht="54" customHeight="1" x14ac:dyDescent="0.25">
      <c r="A172" s="219"/>
      <c r="B172" s="249">
        <v>157</v>
      </c>
      <c r="C172" s="250" t="s">
        <v>1595</v>
      </c>
      <c r="D172" s="250" t="s">
        <v>1635</v>
      </c>
      <c r="E172" s="436" t="s">
        <v>901</v>
      </c>
      <c r="F172" s="437"/>
      <c r="G172" s="437"/>
      <c r="H172" s="437"/>
      <c r="I172" s="438"/>
      <c r="J172" s="244"/>
      <c r="K172" s="244"/>
      <c r="L172" s="244"/>
      <c r="M172" s="244"/>
      <c r="N172" s="244"/>
      <c r="O172" s="244"/>
      <c r="P172" s="244"/>
      <c r="Q172" s="244"/>
      <c r="R172" s="244"/>
      <c r="S172" s="244"/>
      <c r="T172" s="244"/>
      <c r="U172" s="244"/>
      <c r="V172" s="244"/>
      <c r="W172" s="244"/>
      <c r="X172" s="244"/>
      <c r="Y172" s="244"/>
      <c r="Z172" s="244"/>
      <c r="AA172" s="244"/>
      <c r="AB172" s="244"/>
      <c r="AC172" s="244"/>
    </row>
  </sheetData>
  <autoFilter ref="B15:M149" xr:uid="{C5B37440-499B-401D-BC57-2FD08E69272F}">
    <filterColumn colId="3" showButton="0"/>
    <filterColumn colId="4" showButton="0"/>
    <filterColumn colId="5" showButton="0"/>
    <filterColumn colId="6" showButton="0"/>
  </autoFilter>
  <mergeCells count="160">
    <mergeCell ref="E19:I19"/>
    <mergeCell ref="E20:I20"/>
    <mergeCell ref="E21:I21"/>
    <mergeCell ref="E22:I22"/>
    <mergeCell ref="E23:I23"/>
    <mergeCell ref="E24:I24"/>
    <mergeCell ref="E34:I34"/>
    <mergeCell ref="E35:I35"/>
    <mergeCell ref="E36:I36"/>
    <mergeCell ref="E46:I46"/>
    <mergeCell ref="E47:I47"/>
    <mergeCell ref="E48:I48"/>
    <mergeCell ref="E37:I37"/>
    <mergeCell ref="E38:I38"/>
    <mergeCell ref="E39:I39"/>
    <mergeCell ref="E40:I40"/>
    <mergeCell ref="E41:I41"/>
    <mergeCell ref="E42:I42"/>
    <mergeCell ref="E49:I49"/>
    <mergeCell ref="E50:I50"/>
    <mergeCell ref="E51:I51"/>
    <mergeCell ref="E52:I52"/>
    <mergeCell ref="E53:I53"/>
    <mergeCell ref="E54:I54"/>
    <mergeCell ref="B2:I6"/>
    <mergeCell ref="B12:F13"/>
    <mergeCell ref="E15:I15"/>
    <mergeCell ref="E16:I16"/>
    <mergeCell ref="E17:I17"/>
    <mergeCell ref="E18:I18"/>
    <mergeCell ref="E31:I31"/>
    <mergeCell ref="E32:I32"/>
    <mergeCell ref="E33:I33"/>
    <mergeCell ref="E25:I25"/>
    <mergeCell ref="E26:I26"/>
    <mergeCell ref="E27:I27"/>
    <mergeCell ref="E28:I28"/>
    <mergeCell ref="E29:I29"/>
    <mergeCell ref="E30:I30"/>
    <mergeCell ref="E43:I43"/>
    <mergeCell ref="E44:I44"/>
    <mergeCell ref="E45:I45"/>
    <mergeCell ref="E61:I61"/>
    <mergeCell ref="E62:I62"/>
    <mergeCell ref="E63:I63"/>
    <mergeCell ref="E64:I64"/>
    <mergeCell ref="E65:I65"/>
    <mergeCell ref="E66:I66"/>
    <mergeCell ref="E55:I55"/>
    <mergeCell ref="E56:I56"/>
    <mergeCell ref="E57:I57"/>
    <mergeCell ref="E58:I58"/>
    <mergeCell ref="E59:I59"/>
    <mergeCell ref="E60:I60"/>
    <mergeCell ref="E73:I73"/>
    <mergeCell ref="E74:I74"/>
    <mergeCell ref="E75:I75"/>
    <mergeCell ref="E76:I76"/>
    <mergeCell ref="E77:I77"/>
    <mergeCell ref="E78:I78"/>
    <mergeCell ref="E67:I67"/>
    <mergeCell ref="E68:I68"/>
    <mergeCell ref="E69:I69"/>
    <mergeCell ref="E70:I70"/>
    <mergeCell ref="E71:I71"/>
    <mergeCell ref="E72:I72"/>
    <mergeCell ref="E85:I85"/>
    <mergeCell ref="E86:I86"/>
    <mergeCell ref="E87:I87"/>
    <mergeCell ref="E88:I88"/>
    <mergeCell ref="E89:I89"/>
    <mergeCell ref="E90:I90"/>
    <mergeCell ref="E79:I79"/>
    <mergeCell ref="E80:I80"/>
    <mergeCell ref="E81:I81"/>
    <mergeCell ref="E82:I82"/>
    <mergeCell ref="E83:I83"/>
    <mergeCell ref="E84:I84"/>
    <mergeCell ref="E97:I97"/>
    <mergeCell ref="E98:I98"/>
    <mergeCell ref="E99:I99"/>
    <mergeCell ref="E100:I100"/>
    <mergeCell ref="E101:I101"/>
    <mergeCell ref="E102:I102"/>
    <mergeCell ref="E91:I91"/>
    <mergeCell ref="E92:I92"/>
    <mergeCell ref="E93:I93"/>
    <mergeCell ref="E94:I94"/>
    <mergeCell ref="E95:I95"/>
    <mergeCell ref="E96:I96"/>
    <mergeCell ref="E109:I109"/>
    <mergeCell ref="E110:I110"/>
    <mergeCell ref="E111:I111"/>
    <mergeCell ref="E112:I112"/>
    <mergeCell ref="E113:I113"/>
    <mergeCell ref="E114:I114"/>
    <mergeCell ref="E103:I103"/>
    <mergeCell ref="E104:I104"/>
    <mergeCell ref="E105:I105"/>
    <mergeCell ref="E106:I106"/>
    <mergeCell ref="E107:I107"/>
    <mergeCell ref="E108:I108"/>
    <mergeCell ref="E121:I121"/>
    <mergeCell ref="E122:I122"/>
    <mergeCell ref="E123:I123"/>
    <mergeCell ref="E124:I124"/>
    <mergeCell ref="E125:I125"/>
    <mergeCell ref="E126:I126"/>
    <mergeCell ref="E115:I115"/>
    <mergeCell ref="E116:I116"/>
    <mergeCell ref="E117:I117"/>
    <mergeCell ref="E118:I118"/>
    <mergeCell ref="E119:I119"/>
    <mergeCell ref="E120:I120"/>
    <mergeCell ref="E133:I133"/>
    <mergeCell ref="E134:I134"/>
    <mergeCell ref="E135:I135"/>
    <mergeCell ref="E136:I136"/>
    <mergeCell ref="E137:I137"/>
    <mergeCell ref="E138:I138"/>
    <mergeCell ref="E127:I127"/>
    <mergeCell ref="E128:I128"/>
    <mergeCell ref="E129:I129"/>
    <mergeCell ref="E130:I130"/>
    <mergeCell ref="E131:I131"/>
    <mergeCell ref="E132:I132"/>
    <mergeCell ref="E145:I145"/>
    <mergeCell ref="E146:I146"/>
    <mergeCell ref="E147:I147"/>
    <mergeCell ref="E148:I148"/>
    <mergeCell ref="E149:I149"/>
    <mergeCell ref="E151:I151"/>
    <mergeCell ref="E139:I139"/>
    <mergeCell ref="E140:I140"/>
    <mergeCell ref="E141:I141"/>
    <mergeCell ref="E142:I142"/>
    <mergeCell ref="E143:I143"/>
    <mergeCell ref="E144:I144"/>
    <mergeCell ref="E150:I150"/>
    <mergeCell ref="E152:I152"/>
    <mergeCell ref="E153:I153"/>
    <mergeCell ref="E154:I154"/>
    <mergeCell ref="E155:I155"/>
    <mergeCell ref="E156:I156"/>
    <mergeCell ref="E157:I157"/>
    <mergeCell ref="E158:I158"/>
    <mergeCell ref="E159:I159"/>
    <mergeCell ref="E160:I160"/>
    <mergeCell ref="E170:I170"/>
    <mergeCell ref="E171:I171"/>
    <mergeCell ref="E172:I172"/>
    <mergeCell ref="E161:I161"/>
    <mergeCell ref="E162:I162"/>
    <mergeCell ref="E163:I163"/>
    <mergeCell ref="E164:I164"/>
    <mergeCell ref="E165:I165"/>
    <mergeCell ref="E166:I166"/>
    <mergeCell ref="E167:I167"/>
    <mergeCell ref="E168:I168"/>
    <mergeCell ref="E169:I169"/>
  </mergeCells>
  <phoneticPr fontId="32" type="noConversion"/>
  <printOptions horizontalCentered="1"/>
  <pageMargins left="0.70866141732283472" right="0.70866141732283472" top="0.74803149606299213" bottom="0.74803149606299213" header="0.31496062992125984" footer="0.31496062992125984"/>
  <pageSetup paperSize="9" scale="41" fitToHeight="0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5C396A-CD0B-4D63-8262-D90B64CB5570}">
  <dimension ref="A1:O78"/>
  <sheetViews>
    <sheetView zoomScale="85" zoomScaleNormal="85" zoomScaleSheetLayoutView="100" workbookViewId="0">
      <selection activeCell="A5" sqref="A5:Q5"/>
    </sheetView>
  </sheetViews>
  <sheetFormatPr defaultColWidth="8.19921875" defaultRowHeight="13.8" x14ac:dyDescent="0.25"/>
  <cols>
    <col min="1" max="1" width="7.09765625" style="298" bestFit="1" customWidth="1"/>
    <col min="2" max="2" width="23.796875" style="298" customWidth="1"/>
    <col min="3" max="11" width="17.19921875" style="298" bestFit="1" customWidth="1"/>
    <col min="12" max="12" width="20.796875" style="298" bestFit="1" customWidth="1"/>
    <col min="13" max="13" width="15.59765625" style="298" bestFit="1" customWidth="1"/>
    <col min="14" max="17" width="18.59765625" style="298" customWidth="1"/>
    <col min="18" max="16384" width="8.19921875" style="298"/>
  </cols>
  <sheetData>
    <row r="1" spans="1:15" x14ac:dyDescent="0.25">
      <c r="A1" s="296"/>
      <c r="B1" s="297"/>
      <c r="C1" s="472"/>
      <c r="D1" s="472"/>
      <c r="E1" s="472"/>
      <c r="F1" s="472"/>
      <c r="G1" s="472"/>
      <c r="H1" s="472"/>
      <c r="I1" s="472"/>
      <c r="J1" s="472"/>
      <c r="K1" s="472"/>
      <c r="L1" s="473"/>
    </row>
    <row r="2" spans="1:15" x14ac:dyDescent="0.25">
      <c r="A2" s="299"/>
      <c r="B2" s="300"/>
      <c r="C2" s="474"/>
      <c r="D2" s="474"/>
      <c r="E2" s="474"/>
      <c r="F2" s="474"/>
      <c r="G2" s="474"/>
      <c r="H2" s="474"/>
      <c r="I2" s="474"/>
      <c r="J2" s="474"/>
      <c r="K2" s="474"/>
      <c r="L2" s="475"/>
    </row>
    <row r="3" spans="1:15" x14ac:dyDescent="0.25">
      <c r="A3" s="299"/>
      <c r="B3" s="300"/>
      <c r="C3" s="474"/>
      <c r="D3" s="474"/>
      <c r="E3" s="474"/>
      <c r="F3" s="474"/>
      <c r="G3" s="474"/>
      <c r="H3" s="474"/>
      <c r="I3" s="474"/>
      <c r="J3" s="474"/>
      <c r="K3" s="474"/>
      <c r="L3" s="475"/>
    </row>
    <row r="4" spans="1:15" x14ac:dyDescent="0.25">
      <c r="A4" s="303"/>
      <c r="B4" s="301"/>
      <c r="C4" s="301"/>
      <c r="D4" s="301"/>
      <c r="E4" s="301"/>
      <c r="F4" s="301"/>
      <c r="G4" s="301"/>
      <c r="H4" s="301"/>
      <c r="I4" s="301"/>
      <c r="J4" s="301"/>
      <c r="K4" s="301"/>
      <c r="L4" s="302"/>
    </row>
    <row r="5" spans="1:15" ht="28.2" x14ac:dyDescent="0.25">
      <c r="A5" s="476" t="s">
        <v>1673</v>
      </c>
      <c r="B5" s="477"/>
      <c r="C5" s="477"/>
      <c r="D5" s="477"/>
      <c r="E5" s="477"/>
      <c r="F5" s="477"/>
      <c r="G5" s="477"/>
      <c r="H5" s="477"/>
      <c r="I5" s="477"/>
      <c r="J5" s="477"/>
      <c r="K5" s="477"/>
      <c r="L5" s="478"/>
    </row>
    <row r="6" spans="1:15" x14ac:dyDescent="0.25">
      <c r="A6" s="304"/>
      <c r="B6" s="305"/>
      <c r="C6" s="305"/>
      <c r="D6" s="305"/>
      <c r="E6" s="305"/>
      <c r="F6" s="305"/>
      <c r="G6" s="305"/>
      <c r="H6" s="305"/>
      <c r="I6" s="305"/>
      <c r="J6" s="305"/>
      <c r="K6" s="305"/>
      <c r="L6" s="306"/>
    </row>
    <row r="7" spans="1:15" ht="32.25" customHeight="1" x14ac:dyDescent="0.25">
      <c r="A7" s="307" t="s">
        <v>1657</v>
      </c>
      <c r="B7" s="479" t="str">
        <f>'DADOS GERAIS'!B9</f>
        <v>Unidade Básica de Saúde Porte 2 - Área Construída: 500,17m²</v>
      </c>
      <c r="C7" s="480"/>
      <c r="D7" s="480"/>
      <c r="E7" s="480"/>
      <c r="F7" s="480"/>
      <c r="G7" s="480"/>
      <c r="H7" s="480"/>
      <c r="I7" s="480"/>
      <c r="J7" s="480"/>
      <c r="K7" s="480"/>
      <c r="L7" s="308" t="s">
        <v>1658</v>
      </c>
    </row>
    <row r="8" spans="1:15" ht="14.25" customHeight="1" x14ac:dyDescent="0.25">
      <c r="A8" s="309" t="s">
        <v>1659</v>
      </c>
      <c r="B8" s="481" t="s">
        <v>1672</v>
      </c>
      <c r="C8" s="482"/>
      <c r="D8" s="482"/>
      <c r="E8" s="482"/>
      <c r="F8" s="482"/>
      <c r="G8" s="482"/>
      <c r="H8" s="482"/>
      <c r="I8" s="482"/>
      <c r="J8" s="482"/>
      <c r="K8" s="482"/>
      <c r="L8" s="310">
        <v>45689</v>
      </c>
    </row>
    <row r="9" spans="1:15" x14ac:dyDescent="0.25">
      <c r="A9" s="299"/>
      <c r="L9" s="311"/>
    </row>
    <row r="10" spans="1:15" x14ac:dyDescent="0.25">
      <c r="A10" s="467" t="s">
        <v>20</v>
      </c>
      <c r="B10" s="468" t="s">
        <v>21</v>
      </c>
      <c r="C10" s="469" t="s">
        <v>1660</v>
      </c>
      <c r="D10" s="470"/>
      <c r="E10" s="470"/>
      <c r="F10" s="470"/>
      <c r="G10" s="470"/>
      <c r="H10" s="470"/>
      <c r="I10" s="470"/>
      <c r="J10" s="470"/>
      <c r="K10" s="470"/>
      <c r="L10" s="471" t="s">
        <v>24</v>
      </c>
    </row>
    <row r="11" spans="1:15" x14ac:dyDescent="0.25">
      <c r="A11" s="467"/>
      <c r="B11" s="468"/>
      <c r="C11" s="312" t="s">
        <v>1661</v>
      </c>
      <c r="D11" s="312" t="s">
        <v>1662</v>
      </c>
      <c r="E11" s="312" t="s">
        <v>1663</v>
      </c>
      <c r="F11" s="312" t="s">
        <v>1664</v>
      </c>
      <c r="G11" s="312" t="s">
        <v>1665</v>
      </c>
      <c r="H11" s="312" t="s">
        <v>1666</v>
      </c>
      <c r="I11" s="312" t="s">
        <v>1667</v>
      </c>
      <c r="J11" s="312" t="s">
        <v>1668</v>
      </c>
      <c r="K11" s="312" t="s">
        <v>1669</v>
      </c>
      <c r="L11" s="471"/>
    </row>
    <row r="12" spans="1:15" x14ac:dyDescent="0.25">
      <c r="A12" s="465">
        <v>1</v>
      </c>
      <c r="B12" s="466" t="str">
        <f>RESUMO!C17</f>
        <v>SERVIÇOS PRELIMINARES E INDIRETOS</v>
      </c>
      <c r="C12" s="313">
        <f>C13*$L12</f>
        <v>153679.01</v>
      </c>
      <c r="D12" s="313">
        <f>D13*$L12</f>
        <v>8196.2099999999991</v>
      </c>
      <c r="E12" s="313">
        <f t="shared" ref="E12:K12" si="0">E13*$L12</f>
        <v>6147.16</v>
      </c>
      <c r="F12" s="313">
        <f t="shared" si="0"/>
        <v>6147.16</v>
      </c>
      <c r="G12" s="313">
        <f t="shared" si="0"/>
        <v>6147.16</v>
      </c>
      <c r="H12" s="313">
        <f t="shared" si="0"/>
        <v>6147.16</v>
      </c>
      <c r="I12" s="313">
        <f t="shared" si="0"/>
        <v>6147.16</v>
      </c>
      <c r="J12" s="313">
        <f t="shared" si="0"/>
        <v>6147.16</v>
      </c>
      <c r="K12" s="313">
        <f t="shared" si="0"/>
        <v>6147.16</v>
      </c>
      <c r="L12" s="314">
        <f>RESUMO!E17</f>
        <v>204905.35</v>
      </c>
      <c r="M12" s="315">
        <f>SUM(C12:K12)-L12</f>
        <v>-0.01</v>
      </c>
      <c r="N12" s="315"/>
      <c r="O12" s="315"/>
    </row>
    <row r="13" spans="1:15" x14ac:dyDescent="0.25">
      <c r="A13" s="465"/>
      <c r="B13" s="466"/>
      <c r="C13" s="316">
        <v>0.75</v>
      </c>
      <c r="D13" s="316">
        <v>0.04</v>
      </c>
      <c r="E13" s="316">
        <v>0.03</v>
      </c>
      <c r="F13" s="316">
        <v>0.03</v>
      </c>
      <c r="G13" s="316">
        <v>0.03</v>
      </c>
      <c r="H13" s="316">
        <v>0.03</v>
      </c>
      <c r="I13" s="316">
        <v>0.03</v>
      </c>
      <c r="J13" s="316">
        <v>0.03</v>
      </c>
      <c r="K13" s="316">
        <v>0.03</v>
      </c>
      <c r="L13" s="324">
        <f>L12/$L$54</f>
        <v>8.1000000000000003E-2</v>
      </c>
      <c r="M13" s="317">
        <f>SUM(C13:K13)-1</f>
        <v>0</v>
      </c>
      <c r="N13" s="317"/>
    </row>
    <row r="14" spans="1:15" x14ac:dyDescent="0.25">
      <c r="A14" s="465">
        <v>2</v>
      </c>
      <c r="B14" s="459" t="str">
        <f>RESUMO!C18</f>
        <v>FUNDAÇÃO</v>
      </c>
      <c r="C14" s="313">
        <f>C15*$L14</f>
        <v>177299.77</v>
      </c>
      <c r="D14" s="313">
        <f>D15*$L14</f>
        <v>118199.85</v>
      </c>
      <c r="E14" s="313">
        <f t="shared" ref="E14" si="1">E15*$L14</f>
        <v>0</v>
      </c>
      <c r="F14" s="313">
        <f t="shared" ref="F14" si="2">F15*$L14</f>
        <v>0</v>
      </c>
      <c r="G14" s="313">
        <f t="shared" ref="G14" si="3">G15*$L14</f>
        <v>0</v>
      </c>
      <c r="H14" s="313">
        <f t="shared" ref="H14" si="4">H15*$L14</f>
        <v>0</v>
      </c>
      <c r="I14" s="313">
        <f t="shared" ref="I14" si="5">I15*$L14</f>
        <v>0</v>
      </c>
      <c r="J14" s="313">
        <f t="shared" ref="J14" si="6">J15*$L14</f>
        <v>0</v>
      </c>
      <c r="K14" s="313">
        <f t="shared" ref="K14" si="7">K15*$L14</f>
        <v>0</v>
      </c>
      <c r="L14" s="314">
        <f>RESUMO!E18</f>
        <v>295499.62</v>
      </c>
      <c r="M14" s="315">
        <f t="shared" ref="M14:M52" si="8">SUM(C14:K14)-L14</f>
        <v>0</v>
      </c>
      <c r="N14" s="315"/>
      <c r="O14" s="315"/>
    </row>
    <row r="15" spans="1:15" x14ac:dyDescent="0.25">
      <c r="A15" s="465"/>
      <c r="B15" s="460"/>
      <c r="C15" s="316">
        <v>0.6</v>
      </c>
      <c r="D15" s="316">
        <v>0.4</v>
      </c>
      <c r="E15" s="316"/>
      <c r="F15" s="316"/>
      <c r="G15" s="316"/>
      <c r="H15" s="316"/>
      <c r="I15" s="316"/>
      <c r="J15" s="316"/>
      <c r="K15" s="316"/>
      <c r="L15" s="324">
        <f>L14/$L$54</f>
        <v>0.1169</v>
      </c>
      <c r="M15" s="317">
        <f>SUM(C15:K15)-1</f>
        <v>0</v>
      </c>
      <c r="N15" s="317"/>
    </row>
    <row r="16" spans="1:15" ht="13.5" customHeight="1" x14ac:dyDescent="0.25">
      <c r="A16" s="457">
        <v>3</v>
      </c>
      <c r="B16" s="459" t="str">
        <f>RESUMO!C19</f>
        <v>ESTRUTURA</v>
      </c>
      <c r="C16" s="313">
        <f>C17*$L16</f>
        <v>0</v>
      </c>
      <c r="D16" s="313">
        <f>D17*$L16</f>
        <v>127978.02</v>
      </c>
      <c r="E16" s="313">
        <f t="shared" ref="E16" si="9">E17*$L16</f>
        <v>127978.02</v>
      </c>
      <c r="F16" s="313">
        <f t="shared" ref="F16" si="10">F17*$L16</f>
        <v>127978.02</v>
      </c>
      <c r="G16" s="313">
        <f t="shared" ref="G16" si="11">G17*$L16</f>
        <v>42659.34</v>
      </c>
      <c r="H16" s="313">
        <f t="shared" ref="H16" si="12">H17*$L16</f>
        <v>0</v>
      </c>
      <c r="I16" s="313">
        <f t="shared" ref="I16" si="13">I17*$L16</f>
        <v>0</v>
      </c>
      <c r="J16" s="313">
        <f t="shared" ref="J16" si="14">J17*$L16</f>
        <v>0</v>
      </c>
      <c r="K16" s="313">
        <f t="shared" ref="K16" si="15">K17*$L16</f>
        <v>0</v>
      </c>
      <c r="L16" s="314">
        <f>RESUMO!E19</f>
        <v>426593.4</v>
      </c>
      <c r="M16" s="315">
        <f t="shared" si="8"/>
        <v>0</v>
      </c>
      <c r="N16" s="315"/>
      <c r="O16" s="315"/>
    </row>
    <row r="17" spans="1:15" x14ac:dyDescent="0.25">
      <c r="A17" s="458"/>
      <c r="B17" s="460"/>
      <c r="C17" s="316"/>
      <c r="D17" s="316">
        <v>0.3</v>
      </c>
      <c r="E17" s="316">
        <v>0.3</v>
      </c>
      <c r="F17" s="316">
        <v>0.3</v>
      </c>
      <c r="G17" s="316">
        <v>0.1</v>
      </c>
      <c r="H17" s="316"/>
      <c r="I17" s="316"/>
      <c r="J17" s="316"/>
      <c r="K17" s="316"/>
      <c r="L17" s="324">
        <f>L16/$L$54</f>
        <v>0.16869999999999999</v>
      </c>
      <c r="M17" s="317">
        <f>SUM(C17:K17)-1</f>
        <v>0</v>
      </c>
      <c r="N17" s="317"/>
    </row>
    <row r="18" spans="1:15" ht="13.5" customHeight="1" x14ac:dyDescent="0.25">
      <c r="A18" s="457">
        <v>4</v>
      </c>
      <c r="B18" s="459" t="str">
        <f>RESUMO!C20</f>
        <v>ALVENARIA, VEDAÇÕES E DIVISÓRIAS</v>
      </c>
      <c r="C18" s="313">
        <f>C19*$L18</f>
        <v>0</v>
      </c>
      <c r="D18" s="313">
        <f>D19*$L18</f>
        <v>0</v>
      </c>
      <c r="E18" s="313">
        <f t="shared" ref="E18" si="16">E19*$L18</f>
        <v>0</v>
      </c>
      <c r="F18" s="313">
        <f t="shared" ref="F18" si="17">F19*$L18</f>
        <v>77483.27</v>
      </c>
      <c r="G18" s="313">
        <f t="shared" ref="G18" si="18">G19*$L18</f>
        <v>77483.27</v>
      </c>
      <c r="H18" s="313">
        <f t="shared" ref="H18" si="19">H19*$L18</f>
        <v>66414.23</v>
      </c>
      <c r="I18" s="313">
        <f t="shared" ref="I18" si="20">I19*$L18</f>
        <v>0</v>
      </c>
      <c r="J18" s="313">
        <f t="shared" ref="J18" si="21">J19*$L18</f>
        <v>0</v>
      </c>
      <c r="K18" s="313">
        <f t="shared" ref="K18" si="22">K19*$L18</f>
        <v>0</v>
      </c>
      <c r="L18" s="314">
        <f>RESUMO!E20</f>
        <v>221380.76</v>
      </c>
      <c r="M18" s="315">
        <f t="shared" si="8"/>
        <v>0.01</v>
      </c>
      <c r="N18" s="315"/>
      <c r="O18" s="315"/>
    </row>
    <row r="19" spans="1:15" x14ac:dyDescent="0.25">
      <c r="A19" s="458"/>
      <c r="B19" s="460"/>
      <c r="C19" s="316"/>
      <c r="D19" s="316"/>
      <c r="E19" s="316"/>
      <c r="F19" s="316">
        <v>0.35</v>
      </c>
      <c r="G19" s="316">
        <v>0.35</v>
      </c>
      <c r="H19" s="316">
        <v>0.3</v>
      </c>
      <c r="I19" s="316"/>
      <c r="J19" s="316"/>
      <c r="K19" s="316"/>
      <c r="L19" s="324">
        <f>L18/$L$54</f>
        <v>8.7499999999999994E-2</v>
      </c>
      <c r="M19" s="317">
        <f>SUM(C19:K19)-1</f>
        <v>0</v>
      </c>
      <c r="N19" s="317"/>
    </row>
    <row r="20" spans="1:15" ht="13.5" customHeight="1" x14ac:dyDescent="0.25">
      <c r="A20" s="457">
        <v>5</v>
      </c>
      <c r="B20" s="459" t="str">
        <f>RESUMO!C21</f>
        <v>COBERTURA</v>
      </c>
      <c r="C20" s="313">
        <f>C21*$L20</f>
        <v>0</v>
      </c>
      <c r="D20" s="313">
        <f>D21*$L20</f>
        <v>0</v>
      </c>
      <c r="E20" s="313">
        <f t="shared" ref="E20" si="23">E21*$L20</f>
        <v>0</v>
      </c>
      <c r="F20" s="313">
        <f t="shared" ref="F20" si="24">F21*$L20</f>
        <v>0</v>
      </c>
      <c r="G20" s="313">
        <f t="shared" ref="G20" si="25">G21*$L20</f>
        <v>0</v>
      </c>
      <c r="H20" s="313">
        <f t="shared" ref="H20" si="26">H21*$L20</f>
        <v>36559.64</v>
      </c>
      <c r="I20" s="313">
        <f t="shared" ref="I20" si="27">I21*$L20</f>
        <v>48746.18</v>
      </c>
      <c r="J20" s="313">
        <f t="shared" ref="J20" si="28">J21*$L20</f>
        <v>36559.64</v>
      </c>
      <c r="K20" s="313">
        <f t="shared" ref="K20" si="29">K21*$L20</f>
        <v>0</v>
      </c>
      <c r="L20" s="314">
        <f>RESUMO!E21</f>
        <v>121865.45</v>
      </c>
      <c r="M20" s="315">
        <f t="shared" si="8"/>
        <v>0.01</v>
      </c>
      <c r="N20" s="315"/>
      <c r="O20" s="315"/>
    </row>
    <row r="21" spans="1:15" x14ac:dyDescent="0.25">
      <c r="A21" s="458"/>
      <c r="B21" s="460"/>
      <c r="C21" s="316"/>
      <c r="D21" s="316"/>
      <c r="E21" s="316"/>
      <c r="F21" s="316"/>
      <c r="G21" s="316"/>
      <c r="H21" s="316">
        <v>0.3</v>
      </c>
      <c r="I21" s="316">
        <v>0.4</v>
      </c>
      <c r="J21" s="316">
        <v>0.3</v>
      </c>
      <c r="K21" s="316"/>
      <c r="L21" s="324">
        <f>L20/$L$54</f>
        <v>4.82E-2</v>
      </c>
      <c r="M21" s="317">
        <f>SUM(C21:K21)-1</f>
        <v>0</v>
      </c>
      <c r="N21" s="317"/>
    </row>
    <row r="22" spans="1:15" ht="13.5" customHeight="1" x14ac:dyDescent="0.25">
      <c r="A22" s="457">
        <v>6</v>
      </c>
      <c r="B22" s="459" t="str">
        <f>RESUMO!C22</f>
        <v>IMPERMEABILIZAÇÃO</v>
      </c>
      <c r="C22" s="313">
        <f>C23*$L22</f>
        <v>0</v>
      </c>
      <c r="D22" s="313">
        <f>D23*$L22</f>
        <v>0</v>
      </c>
      <c r="E22" s="313">
        <f t="shared" ref="E22" si="30">E23*$L22</f>
        <v>4723.46</v>
      </c>
      <c r="F22" s="313">
        <f t="shared" ref="F22" si="31">F23*$L22</f>
        <v>4723.46</v>
      </c>
      <c r="G22" s="313">
        <f t="shared" ref="G22" si="32">G23*$L22</f>
        <v>6297.95</v>
      </c>
      <c r="H22" s="313">
        <f t="shared" ref="H22" si="33">H23*$L22</f>
        <v>0</v>
      </c>
      <c r="I22" s="313">
        <f t="shared" ref="I22" si="34">I23*$L22</f>
        <v>0</v>
      </c>
      <c r="J22" s="313">
        <f t="shared" ref="J22" si="35">J23*$L22</f>
        <v>0</v>
      </c>
      <c r="K22" s="313">
        <f t="shared" ref="K22" si="36">K23*$L22</f>
        <v>0</v>
      </c>
      <c r="L22" s="314">
        <f>RESUMO!E22</f>
        <v>15744.87</v>
      </c>
      <c r="M22" s="315">
        <f t="shared" si="8"/>
        <v>0</v>
      </c>
      <c r="N22" s="315"/>
      <c r="O22" s="315"/>
    </row>
    <row r="23" spans="1:15" x14ac:dyDescent="0.25">
      <c r="A23" s="458"/>
      <c r="B23" s="460"/>
      <c r="C23" s="316"/>
      <c r="D23" s="316"/>
      <c r="E23" s="316">
        <v>0.3</v>
      </c>
      <c r="F23" s="316">
        <v>0.3</v>
      </c>
      <c r="G23" s="316">
        <v>0.4</v>
      </c>
      <c r="H23" s="316"/>
      <c r="I23" s="316"/>
      <c r="J23" s="316"/>
      <c r="K23" s="316"/>
      <c r="L23" s="324">
        <f>L22/$L$54</f>
        <v>6.1999999999999998E-3</v>
      </c>
      <c r="M23" s="317">
        <f>SUM(C23:K23)-1</f>
        <v>0</v>
      </c>
      <c r="N23" s="317"/>
    </row>
    <row r="24" spans="1:15" ht="13.5" customHeight="1" x14ac:dyDescent="0.25">
      <c r="A24" s="457">
        <v>7</v>
      </c>
      <c r="B24" s="459" t="str">
        <f>RESUMO!C23</f>
        <v>ESQUADRIAS</v>
      </c>
      <c r="C24" s="313">
        <f>C25*$L24</f>
        <v>0</v>
      </c>
      <c r="D24" s="313">
        <f>D25*$L24</f>
        <v>0</v>
      </c>
      <c r="E24" s="313">
        <f t="shared" ref="E24" si="37">E25*$L24</f>
        <v>0</v>
      </c>
      <c r="F24" s="313">
        <f t="shared" ref="F24" si="38">F25*$L24</f>
        <v>0</v>
      </c>
      <c r="G24" s="313">
        <f t="shared" ref="G24" si="39">G25*$L24</f>
        <v>0</v>
      </c>
      <c r="H24" s="313">
        <f t="shared" ref="H24" si="40">H25*$L24</f>
        <v>55625.78</v>
      </c>
      <c r="I24" s="313">
        <f t="shared" ref="I24" si="41">I25*$L24</f>
        <v>55625.78</v>
      </c>
      <c r="J24" s="313">
        <f t="shared" ref="J24" si="42">J25*$L24</f>
        <v>47679.24</v>
      </c>
      <c r="K24" s="313">
        <f t="shared" ref="K24" si="43">K25*$L24</f>
        <v>0</v>
      </c>
      <c r="L24" s="314">
        <f>RESUMO!E23</f>
        <v>158930.79</v>
      </c>
      <c r="M24" s="315">
        <f t="shared" si="8"/>
        <v>0.01</v>
      </c>
      <c r="N24" s="315"/>
      <c r="O24" s="315"/>
    </row>
    <row r="25" spans="1:15" x14ac:dyDescent="0.25">
      <c r="A25" s="458"/>
      <c r="B25" s="460"/>
      <c r="C25" s="316"/>
      <c r="D25" s="316"/>
      <c r="E25" s="316"/>
      <c r="F25" s="316"/>
      <c r="G25" s="316"/>
      <c r="H25" s="316">
        <v>0.35</v>
      </c>
      <c r="I25" s="316">
        <v>0.35</v>
      </c>
      <c r="J25" s="316">
        <v>0.3</v>
      </c>
      <c r="K25" s="316"/>
      <c r="L25" s="324">
        <f>L24/$L$54</f>
        <v>6.2899999999999998E-2</v>
      </c>
      <c r="M25" s="317">
        <f>SUM(C25:K25)-1</f>
        <v>0</v>
      </c>
      <c r="N25" s="317"/>
    </row>
    <row r="26" spans="1:15" ht="13.5" customHeight="1" x14ac:dyDescent="0.25">
      <c r="A26" s="457">
        <v>8</v>
      </c>
      <c r="B26" s="459" t="str">
        <f>RESUMO!C24</f>
        <v>REVESTIMENTO DE PAREDE</v>
      </c>
      <c r="C26" s="313">
        <f>C27*$L26</f>
        <v>0</v>
      </c>
      <c r="D26" s="313">
        <f>D27*$L26</f>
        <v>0</v>
      </c>
      <c r="E26" s="313">
        <f t="shared" ref="E26" si="44">E27*$L26</f>
        <v>0</v>
      </c>
      <c r="F26" s="313">
        <f t="shared" ref="F26" si="45">F27*$L26</f>
        <v>0</v>
      </c>
      <c r="G26" s="313">
        <f t="shared" ref="G26" si="46">G27*$L26</f>
        <v>0</v>
      </c>
      <c r="H26" s="313">
        <f t="shared" ref="H26" si="47">H27*$L26</f>
        <v>30040.13</v>
      </c>
      <c r="I26" s="313">
        <f t="shared" ref="I26" si="48">I27*$L26</f>
        <v>30040.13</v>
      </c>
      <c r="J26" s="313">
        <f t="shared" ref="J26" si="49">J27*$L26</f>
        <v>40053.51</v>
      </c>
      <c r="K26" s="313">
        <f t="shared" ref="K26" si="50">K27*$L26</f>
        <v>0</v>
      </c>
      <c r="L26" s="314">
        <f>RESUMO!E24</f>
        <v>100133.78</v>
      </c>
      <c r="M26" s="315">
        <f t="shared" si="8"/>
        <v>-0.01</v>
      </c>
      <c r="N26" s="315"/>
      <c r="O26" s="315"/>
    </row>
    <row r="27" spans="1:15" x14ac:dyDescent="0.25">
      <c r="A27" s="458"/>
      <c r="B27" s="460"/>
      <c r="C27" s="316"/>
      <c r="D27" s="316"/>
      <c r="E27" s="316"/>
      <c r="F27" s="316"/>
      <c r="G27" s="316"/>
      <c r="H27" s="316">
        <v>0.3</v>
      </c>
      <c r="I27" s="316">
        <v>0.3</v>
      </c>
      <c r="J27" s="316">
        <v>0.4</v>
      </c>
      <c r="K27" s="316"/>
      <c r="L27" s="324">
        <f>L26/$L$54</f>
        <v>3.9600000000000003E-2</v>
      </c>
      <c r="M27" s="317">
        <f>SUM(C27:K27)-1</f>
        <v>0</v>
      </c>
      <c r="N27" s="317"/>
    </row>
    <row r="28" spans="1:15" ht="13.5" customHeight="1" x14ac:dyDescent="0.25">
      <c r="A28" s="457">
        <v>9</v>
      </c>
      <c r="B28" s="459" t="str">
        <f>RESUMO!C25</f>
        <v>REVESTIMENTO DE PISO INTERNO</v>
      </c>
      <c r="C28" s="313">
        <f>C29*$L28</f>
        <v>0</v>
      </c>
      <c r="D28" s="313">
        <f>D29*$L28</f>
        <v>0</v>
      </c>
      <c r="E28" s="313">
        <f t="shared" ref="E28" si="51">E29*$L28</f>
        <v>22134.9</v>
      </c>
      <c r="F28" s="313">
        <f t="shared" ref="F28" si="52">F29*$L28</f>
        <v>33202.35</v>
      </c>
      <c r="G28" s="313">
        <f t="shared" ref="G28" si="53">G29*$L28</f>
        <v>33202.35</v>
      </c>
      <c r="H28" s="313">
        <f t="shared" ref="H28" si="54">H29*$L28</f>
        <v>22134.9</v>
      </c>
      <c r="I28" s="313">
        <f t="shared" ref="I28" si="55">I29*$L28</f>
        <v>0</v>
      </c>
      <c r="J28" s="313">
        <f t="shared" ref="J28" si="56">J29*$L28</f>
        <v>0</v>
      </c>
      <c r="K28" s="313">
        <f t="shared" ref="K28" si="57">K29*$L28</f>
        <v>0</v>
      </c>
      <c r="L28" s="314">
        <f>RESUMO!E25</f>
        <v>110674.51</v>
      </c>
      <c r="M28" s="315">
        <f t="shared" si="8"/>
        <v>-0.01</v>
      </c>
      <c r="N28" s="315"/>
      <c r="O28" s="315"/>
    </row>
    <row r="29" spans="1:15" x14ac:dyDescent="0.25">
      <c r="A29" s="458"/>
      <c r="B29" s="460"/>
      <c r="C29" s="316"/>
      <c r="D29" s="316"/>
      <c r="E29" s="316">
        <v>0.2</v>
      </c>
      <c r="F29" s="316">
        <v>0.3</v>
      </c>
      <c r="G29" s="316">
        <v>0.3</v>
      </c>
      <c r="H29" s="316">
        <v>0.2</v>
      </c>
      <c r="I29" s="316"/>
      <c r="J29" s="316"/>
      <c r="K29" s="316"/>
      <c r="L29" s="324">
        <f>L28/$L$54</f>
        <v>4.3799999999999999E-2</v>
      </c>
      <c r="M29" s="317">
        <f>SUM(C29:K29)-1</f>
        <v>0</v>
      </c>
      <c r="N29" s="317"/>
    </row>
    <row r="30" spans="1:15" ht="13.5" customHeight="1" x14ac:dyDescent="0.25">
      <c r="A30" s="457">
        <v>10</v>
      </c>
      <c r="B30" s="459" t="str">
        <f>RESUMO!C26</f>
        <v>REVESTIMENTO DE PISO EXTERNO</v>
      </c>
      <c r="C30" s="313">
        <f>C31*$L30</f>
        <v>0</v>
      </c>
      <c r="D30" s="313">
        <f>D31*$L30</f>
        <v>0</v>
      </c>
      <c r="E30" s="313">
        <f t="shared" ref="E30" si="58">E31*$L30</f>
        <v>0</v>
      </c>
      <c r="F30" s="313">
        <f t="shared" ref="F30" si="59">F31*$L30</f>
        <v>0</v>
      </c>
      <c r="G30" s="313">
        <f t="shared" ref="G30" si="60">G31*$L30</f>
        <v>0</v>
      </c>
      <c r="H30" s="313">
        <f t="shared" ref="H30" si="61">H31*$L30</f>
        <v>14956.26</v>
      </c>
      <c r="I30" s="313">
        <f t="shared" ref="I30" si="62">I31*$L30</f>
        <v>14956.26</v>
      </c>
      <c r="J30" s="313">
        <f t="shared" ref="J30" si="63">J31*$L30</f>
        <v>14956.26</v>
      </c>
      <c r="K30" s="313">
        <f t="shared" ref="K30" si="64">K31*$L30</f>
        <v>4985.42</v>
      </c>
      <c r="L30" s="314">
        <f>RESUMO!E26</f>
        <v>49854.21</v>
      </c>
      <c r="M30" s="315">
        <f t="shared" si="8"/>
        <v>-0.01</v>
      </c>
      <c r="N30" s="315"/>
      <c r="O30" s="315"/>
    </row>
    <row r="31" spans="1:15" x14ac:dyDescent="0.25">
      <c r="A31" s="458"/>
      <c r="B31" s="460"/>
      <c r="C31" s="316"/>
      <c r="D31" s="316"/>
      <c r="E31" s="316"/>
      <c r="F31" s="316"/>
      <c r="G31" s="316"/>
      <c r="H31" s="316">
        <v>0.3</v>
      </c>
      <c r="I31" s="316">
        <v>0.3</v>
      </c>
      <c r="J31" s="316">
        <v>0.3</v>
      </c>
      <c r="K31" s="316">
        <v>0.1</v>
      </c>
      <c r="L31" s="324">
        <f>L30/$L$54</f>
        <v>1.9699999999999999E-2</v>
      </c>
      <c r="M31" s="317">
        <f>SUM(C31:K31)-1</f>
        <v>0</v>
      </c>
      <c r="N31" s="317"/>
    </row>
    <row r="32" spans="1:15" ht="13.5" customHeight="1" x14ac:dyDescent="0.25">
      <c r="A32" s="457">
        <v>11</v>
      </c>
      <c r="B32" s="459" t="str">
        <f>RESUMO!C27</f>
        <v>REVESTIMENTO DE TETO</v>
      </c>
      <c r="C32" s="313">
        <f>C33*$L32</f>
        <v>0</v>
      </c>
      <c r="D32" s="313">
        <f>D33*$L32</f>
        <v>0</v>
      </c>
      <c r="E32" s="313">
        <f t="shared" ref="E32" si="65">E33*$L32</f>
        <v>0</v>
      </c>
      <c r="F32" s="313">
        <f t="shared" ref="F32" si="66">F33*$L32</f>
        <v>0</v>
      </c>
      <c r="G32" s="313">
        <f t="shared" ref="G32" si="67">G33*$L32</f>
        <v>0</v>
      </c>
      <c r="H32" s="313">
        <f t="shared" ref="H32" si="68">H33*$L32</f>
        <v>22556.39</v>
      </c>
      <c r="I32" s="313">
        <f t="shared" ref="I32" si="69">I33*$L32</f>
        <v>22556.39</v>
      </c>
      <c r="J32" s="313">
        <f t="shared" ref="J32" si="70">J33*$L32</f>
        <v>0</v>
      </c>
      <c r="K32" s="313">
        <f t="shared" ref="K32" si="71">K33*$L32</f>
        <v>0</v>
      </c>
      <c r="L32" s="314">
        <f>RESUMO!E27</f>
        <v>45112.78</v>
      </c>
      <c r="M32" s="315">
        <f t="shared" si="8"/>
        <v>0</v>
      </c>
      <c r="N32" s="315"/>
      <c r="O32" s="315"/>
    </row>
    <row r="33" spans="1:14" x14ac:dyDescent="0.25">
      <c r="A33" s="458"/>
      <c r="B33" s="460"/>
      <c r="C33" s="316"/>
      <c r="D33" s="316"/>
      <c r="E33" s="316"/>
      <c r="F33" s="316"/>
      <c r="G33" s="316"/>
      <c r="H33" s="316">
        <v>0.5</v>
      </c>
      <c r="I33" s="316">
        <v>0.5</v>
      </c>
      <c r="J33" s="316"/>
      <c r="K33" s="316"/>
      <c r="L33" s="324">
        <f>L32/$L$54</f>
        <v>1.78E-2</v>
      </c>
      <c r="M33" s="317">
        <f>SUM(C33:K33)-1</f>
        <v>0</v>
      </c>
      <c r="N33" s="317"/>
    </row>
    <row r="34" spans="1:14" x14ac:dyDescent="0.25">
      <c r="A34" s="465">
        <v>12</v>
      </c>
      <c r="B34" s="466" t="str">
        <f>RESUMO!C28</f>
        <v>PINTURA</v>
      </c>
      <c r="C34" s="313">
        <f>C35*$L34</f>
        <v>0</v>
      </c>
      <c r="D34" s="313">
        <f>D35*$L34</f>
        <v>0</v>
      </c>
      <c r="E34" s="313">
        <f t="shared" ref="E34" si="72">E35*$L34</f>
        <v>0</v>
      </c>
      <c r="F34" s="313">
        <f t="shared" ref="F34" si="73">F35*$L34</f>
        <v>0</v>
      </c>
      <c r="G34" s="313">
        <f t="shared" ref="G34" si="74">G35*$L34</f>
        <v>0</v>
      </c>
      <c r="H34" s="313">
        <f t="shared" ref="H34" si="75">H35*$L34</f>
        <v>0</v>
      </c>
      <c r="I34" s="313">
        <f t="shared" ref="I34" si="76">I35*$L34</f>
        <v>0</v>
      </c>
      <c r="J34" s="313">
        <f t="shared" ref="J34" si="77">J35*$L34</f>
        <v>44346.26</v>
      </c>
      <c r="K34" s="313">
        <f t="shared" ref="K34" si="78">K35*$L34</f>
        <v>44346.26</v>
      </c>
      <c r="L34" s="314">
        <f>RESUMO!E28</f>
        <v>88692.52</v>
      </c>
      <c r="M34" s="315">
        <f>SUM(C34:K34)-L34</f>
        <v>0</v>
      </c>
      <c r="N34" s="317"/>
    </row>
    <row r="35" spans="1:14" x14ac:dyDescent="0.25">
      <c r="A35" s="465"/>
      <c r="B35" s="466"/>
      <c r="C35" s="316"/>
      <c r="D35" s="316"/>
      <c r="E35" s="316"/>
      <c r="F35" s="316"/>
      <c r="G35" s="316"/>
      <c r="H35" s="316"/>
      <c r="I35" s="316"/>
      <c r="J35" s="316">
        <v>0.5</v>
      </c>
      <c r="K35" s="316">
        <v>0.5</v>
      </c>
      <c r="L35" s="324">
        <f>L34/$L$54</f>
        <v>3.5099999999999999E-2</v>
      </c>
      <c r="M35" s="317">
        <f>SUM(C35:K35)-1</f>
        <v>0</v>
      </c>
      <c r="N35" s="317"/>
    </row>
    <row r="36" spans="1:14" x14ac:dyDescent="0.25">
      <c r="A36" s="465">
        <v>13</v>
      </c>
      <c r="B36" s="459" t="str">
        <f>RESUMO!C29</f>
        <v>MARMORARIA</v>
      </c>
      <c r="C36" s="313">
        <f>C37*$L36</f>
        <v>0</v>
      </c>
      <c r="D36" s="313">
        <f>D37*$L36</f>
        <v>0</v>
      </c>
      <c r="E36" s="313">
        <f t="shared" ref="E36" si="79">E37*$L36</f>
        <v>0</v>
      </c>
      <c r="F36" s="313">
        <f t="shared" ref="F36" si="80">F37*$L36</f>
        <v>0</v>
      </c>
      <c r="G36" s="313">
        <f t="shared" ref="G36" si="81">G37*$L36</f>
        <v>0</v>
      </c>
      <c r="H36" s="313">
        <f t="shared" ref="H36" si="82">H37*$L36</f>
        <v>0</v>
      </c>
      <c r="I36" s="313">
        <f t="shared" ref="I36" si="83">I37*$L36</f>
        <v>5841.71</v>
      </c>
      <c r="J36" s="313">
        <f t="shared" ref="J36" si="84">J37*$L36</f>
        <v>5841.71</v>
      </c>
      <c r="K36" s="313">
        <f t="shared" ref="K36" si="85">K37*$L36</f>
        <v>5007.18</v>
      </c>
      <c r="L36" s="314">
        <f>RESUMO!E29</f>
        <v>16690.61</v>
      </c>
      <c r="M36" s="315">
        <f t="shared" si="8"/>
        <v>-0.01</v>
      </c>
      <c r="N36" s="317"/>
    </row>
    <row r="37" spans="1:14" x14ac:dyDescent="0.25">
      <c r="A37" s="465"/>
      <c r="B37" s="460"/>
      <c r="C37" s="316"/>
      <c r="D37" s="316"/>
      <c r="E37" s="316"/>
      <c r="F37" s="316"/>
      <c r="G37" s="316"/>
      <c r="H37" s="316"/>
      <c r="I37" s="316">
        <v>0.35</v>
      </c>
      <c r="J37" s="316">
        <v>0.35</v>
      </c>
      <c r="K37" s="316">
        <v>0.3</v>
      </c>
      <c r="L37" s="324">
        <f>L36/$L$54</f>
        <v>6.6E-3</v>
      </c>
      <c r="M37" s="317">
        <f>SUM(C37:K37)-1</f>
        <v>0</v>
      </c>
      <c r="N37" s="317"/>
    </row>
    <row r="38" spans="1:14" x14ac:dyDescent="0.25">
      <c r="A38" s="457">
        <v>14</v>
      </c>
      <c r="B38" s="459" t="str">
        <f>RESUMO!C30</f>
        <v>LOUÇAS, METAIS E ACESSÓRIOS</v>
      </c>
      <c r="C38" s="313">
        <f>C39*$L38</f>
        <v>0</v>
      </c>
      <c r="D38" s="313">
        <f>D39*$L38</f>
        <v>0</v>
      </c>
      <c r="E38" s="313">
        <f t="shared" ref="E38" si="86">E39*$L38</f>
        <v>0</v>
      </c>
      <c r="F38" s="313">
        <f t="shared" ref="F38" si="87">F39*$L38</f>
        <v>0</v>
      </c>
      <c r="G38" s="313">
        <f t="shared" ref="G38" si="88">G39*$L38</f>
        <v>0</v>
      </c>
      <c r="H38" s="313">
        <f t="shared" ref="H38" si="89">H39*$L38</f>
        <v>0</v>
      </c>
      <c r="I38" s="313">
        <f t="shared" ref="I38" si="90">I39*$L38</f>
        <v>0</v>
      </c>
      <c r="J38" s="313">
        <f t="shared" ref="J38" si="91">J39*$L38</f>
        <v>14328.2</v>
      </c>
      <c r="K38" s="313">
        <f t="shared" ref="K38" si="92">K39*$L38</f>
        <v>57312.800000000003</v>
      </c>
      <c r="L38" s="314">
        <f>RESUMO!E30</f>
        <v>71641</v>
      </c>
      <c r="M38" s="315">
        <f t="shared" si="8"/>
        <v>0</v>
      </c>
      <c r="N38" s="317"/>
    </row>
    <row r="39" spans="1:14" x14ac:dyDescent="0.25">
      <c r="A39" s="458"/>
      <c r="B39" s="460"/>
      <c r="C39" s="316"/>
      <c r="D39" s="316"/>
      <c r="E39" s="316"/>
      <c r="F39" s="316"/>
      <c r="G39" s="316"/>
      <c r="H39" s="316"/>
      <c r="I39" s="316"/>
      <c r="J39" s="316">
        <v>0.2</v>
      </c>
      <c r="K39" s="316">
        <v>0.8</v>
      </c>
      <c r="L39" s="324">
        <f>L38/$L$54</f>
        <v>2.8299999999999999E-2</v>
      </c>
      <c r="M39" s="317">
        <f>SUM(C39:K39)-1</f>
        <v>0</v>
      </c>
      <c r="N39" s="317"/>
    </row>
    <row r="40" spans="1:14" x14ac:dyDescent="0.25">
      <c r="A40" s="457">
        <v>15</v>
      </c>
      <c r="B40" s="459" t="str">
        <f>RESUMO!C31</f>
        <v>INSTALAÇÕES HIDROSSANITÁRIAS</v>
      </c>
      <c r="C40" s="313">
        <f>C41*$L40</f>
        <v>0</v>
      </c>
      <c r="D40" s="313">
        <f>D41*$L40</f>
        <v>15378.33</v>
      </c>
      <c r="E40" s="313">
        <f t="shared" ref="E40" si="93">E41*$L40</f>
        <v>46134.98</v>
      </c>
      <c r="F40" s="313">
        <f t="shared" ref="F40" si="94">F41*$L40</f>
        <v>46134.98</v>
      </c>
      <c r="G40" s="313">
        <f t="shared" ref="G40" si="95">G41*$L40</f>
        <v>46134.98</v>
      </c>
      <c r="H40" s="313">
        <f t="shared" ref="H40" si="96">H41*$L40</f>
        <v>0</v>
      </c>
      <c r="I40" s="313">
        <f t="shared" ref="I40" si="97">I41*$L40</f>
        <v>0</v>
      </c>
      <c r="J40" s="313">
        <f t="shared" ref="J40" si="98">J41*$L40</f>
        <v>0</v>
      </c>
      <c r="K40" s="313">
        <f t="shared" ref="K40" si="99">K41*$L40</f>
        <v>0</v>
      </c>
      <c r="L40" s="314">
        <f>RESUMO!E31</f>
        <v>153783.25</v>
      </c>
      <c r="M40" s="315">
        <f t="shared" si="8"/>
        <v>0.02</v>
      </c>
      <c r="N40" s="317"/>
    </row>
    <row r="41" spans="1:14" x14ac:dyDescent="0.25">
      <c r="A41" s="458"/>
      <c r="B41" s="460"/>
      <c r="C41" s="316"/>
      <c r="D41" s="316">
        <v>0.1</v>
      </c>
      <c r="E41" s="316">
        <v>0.3</v>
      </c>
      <c r="F41" s="316">
        <v>0.3</v>
      </c>
      <c r="G41" s="316">
        <v>0.3</v>
      </c>
      <c r="H41" s="316"/>
      <c r="I41" s="316"/>
      <c r="J41" s="316"/>
      <c r="K41" s="316"/>
      <c r="L41" s="324">
        <f>L40/$L$54</f>
        <v>6.08E-2</v>
      </c>
      <c r="M41" s="317">
        <f>SUM(C41:K41)-1</f>
        <v>0</v>
      </c>
      <c r="N41" s="317"/>
    </row>
    <row r="42" spans="1:14" x14ac:dyDescent="0.25">
      <c r="A42" s="457">
        <v>16</v>
      </c>
      <c r="B42" s="459" t="str">
        <f>RESUMO!C32</f>
        <v>INSTALAÇÕES ELÉTRICAS</v>
      </c>
      <c r="C42" s="313">
        <f>C43*$L42</f>
        <v>0</v>
      </c>
      <c r="D42" s="313">
        <f>D43*$L42</f>
        <v>0</v>
      </c>
      <c r="E42" s="313">
        <f t="shared" ref="E42" si="100">E43*$L42</f>
        <v>59494.73</v>
      </c>
      <c r="F42" s="313">
        <f t="shared" ref="F42" si="101">F43*$L42</f>
        <v>59494.73</v>
      </c>
      <c r="G42" s="313">
        <f t="shared" ref="G42" si="102">G43*$L42</f>
        <v>59494.73</v>
      </c>
      <c r="H42" s="313">
        <f t="shared" ref="H42" si="103">H43*$L42</f>
        <v>59494.73</v>
      </c>
      <c r="I42" s="313">
        <f t="shared" ref="I42" si="104">I43*$L42</f>
        <v>29747.360000000001</v>
      </c>
      <c r="J42" s="313">
        <f t="shared" ref="J42" si="105">J43*$L42</f>
        <v>29747.360000000001</v>
      </c>
      <c r="K42" s="313">
        <f t="shared" ref="K42" si="106">K43*$L42</f>
        <v>0</v>
      </c>
      <c r="L42" s="314">
        <f>RESUMO!E32</f>
        <v>297473.64</v>
      </c>
      <c r="M42" s="315">
        <f t="shared" si="8"/>
        <v>0</v>
      </c>
      <c r="N42" s="317"/>
    </row>
    <row r="43" spans="1:14" x14ac:dyDescent="0.25">
      <c r="A43" s="458"/>
      <c r="B43" s="460"/>
      <c r="C43" s="316"/>
      <c r="D43" s="316"/>
      <c r="E43" s="316">
        <v>0.2</v>
      </c>
      <c r="F43" s="316">
        <v>0.2</v>
      </c>
      <c r="G43" s="316">
        <v>0.2</v>
      </c>
      <c r="H43" s="316">
        <v>0.2</v>
      </c>
      <c r="I43" s="316">
        <v>0.1</v>
      </c>
      <c r="J43" s="316">
        <v>0.1</v>
      </c>
      <c r="K43" s="316"/>
      <c r="L43" s="324">
        <f>L42/$L$54</f>
        <v>0.1176</v>
      </c>
      <c r="M43" s="317">
        <f>SUM(C43:K43)-1</f>
        <v>0</v>
      </c>
      <c r="N43" s="317"/>
    </row>
    <row r="44" spans="1:14" x14ac:dyDescent="0.25">
      <c r="A44" s="457">
        <v>17</v>
      </c>
      <c r="B44" s="459" t="str">
        <f>RESUMO!C33</f>
        <v>CLIMATIZAÇÃO</v>
      </c>
      <c r="C44" s="313">
        <f>C45*$L44</f>
        <v>0</v>
      </c>
      <c r="D44" s="313">
        <f>D45*$L44</f>
        <v>0</v>
      </c>
      <c r="E44" s="313">
        <f t="shared" ref="E44" si="107">E45*$L44</f>
        <v>0</v>
      </c>
      <c r="F44" s="313">
        <f t="shared" ref="F44" si="108">F45*$L44</f>
        <v>0</v>
      </c>
      <c r="G44" s="313">
        <f t="shared" ref="G44" si="109">G45*$L44</f>
        <v>22290.75</v>
      </c>
      <c r="H44" s="313">
        <f t="shared" ref="H44" si="110">H45*$L44</f>
        <v>33436.120000000003</v>
      </c>
      <c r="I44" s="313">
        <f t="shared" ref="I44" si="111">I45*$L44</f>
        <v>33436.120000000003</v>
      </c>
      <c r="J44" s="313">
        <f t="shared" ref="J44" si="112">J45*$L44</f>
        <v>22290.75</v>
      </c>
      <c r="K44" s="313">
        <f t="shared" ref="K44" si="113">K45*$L44</f>
        <v>0</v>
      </c>
      <c r="L44" s="314">
        <f>RESUMO!E33</f>
        <v>111453.74</v>
      </c>
      <c r="M44" s="315">
        <f t="shared" si="8"/>
        <v>0</v>
      </c>
      <c r="N44" s="317"/>
    </row>
    <row r="45" spans="1:14" x14ac:dyDescent="0.25">
      <c r="A45" s="458"/>
      <c r="B45" s="460"/>
      <c r="C45" s="316"/>
      <c r="D45" s="316"/>
      <c r="E45" s="316"/>
      <c r="F45" s="316"/>
      <c r="G45" s="316">
        <v>0.2</v>
      </c>
      <c r="H45" s="316">
        <v>0.3</v>
      </c>
      <c r="I45" s="316">
        <v>0.3</v>
      </c>
      <c r="J45" s="316">
        <v>0.2</v>
      </c>
      <c r="K45" s="316"/>
      <c r="L45" s="324">
        <f>L44/$L$54</f>
        <v>4.41E-2</v>
      </c>
      <c r="M45" s="317">
        <f>SUM(C45:K45)-1</f>
        <v>0</v>
      </c>
      <c r="N45" s="317"/>
    </row>
    <row r="46" spans="1:14" x14ac:dyDescent="0.25">
      <c r="A46" s="457">
        <v>18</v>
      </c>
      <c r="B46" s="459" t="str">
        <f>RESUMO!C34</f>
        <v>DADOS E VOZ</v>
      </c>
      <c r="C46" s="313">
        <f>C47*$L46</f>
        <v>0</v>
      </c>
      <c r="D46" s="313">
        <f>D47*$L46</f>
        <v>0</v>
      </c>
      <c r="E46" s="313">
        <f t="shared" ref="E46" si="114">E47*$L46</f>
        <v>0</v>
      </c>
      <c r="F46" s="313">
        <f t="shared" ref="F46" si="115">F47*$L46</f>
        <v>0</v>
      </c>
      <c r="G46" s="313">
        <f t="shared" ref="G46" si="116">G47*$L46</f>
        <v>0</v>
      </c>
      <c r="H46" s="313">
        <f t="shared" ref="H46" si="117">H47*$L46</f>
        <v>0</v>
      </c>
      <c r="I46" s="313">
        <f t="shared" ref="I46" si="118">I47*$L46</f>
        <v>0</v>
      </c>
      <c r="J46" s="313">
        <f t="shared" ref="J46" si="119">J47*$L46</f>
        <v>0</v>
      </c>
      <c r="K46" s="313">
        <f t="shared" ref="K46" si="120">K47*$L46</f>
        <v>7345.76</v>
      </c>
      <c r="L46" s="314">
        <f>RESUMO!E34</f>
        <v>7345.76</v>
      </c>
      <c r="M46" s="315">
        <f t="shared" si="8"/>
        <v>0</v>
      </c>
      <c r="N46" s="317"/>
    </row>
    <row r="47" spans="1:14" x14ac:dyDescent="0.25">
      <c r="A47" s="458"/>
      <c r="B47" s="460"/>
      <c r="C47" s="316"/>
      <c r="D47" s="316"/>
      <c r="E47" s="316"/>
      <c r="F47" s="316"/>
      <c r="G47" s="316"/>
      <c r="H47" s="316"/>
      <c r="I47" s="316"/>
      <c r="J47" s="316"/>
      <c r="K47" s="316">
        <v>1</v>
      </c>
      <c r="L47" s="324">
        <f>L46/$L$54</f>
        <v>2.8999999999999998E-3</v>
      </c>
      <c r="M47" s="317">
        <f>SUM(C47:K47)-1</f>
        <v>0</v>
      </c>
      <c r="N47" s="317"/>
    </row>
    <row r="48" spans="1:14" x14ac:dyDescent="0.25">
      <c r="A48" s="457">
        <v>19</v>
      </c>
      <c r="B48" s="459" t="str">
        <f>RESUMO!C35</f>
        <v>GASES MEDICINAIS</v>
      </c>
      <c r="C48" s="313">
        <f>C49*$L48</f>
        <v>0</v>
      </c>
      <c r="D48" s="313">
        <f>D49*$L48</f>
        <v>0</v>
      </c>
      <c r="E48" s="313">
        <f t="shared" ref="E48" si="121">E49*$L48</f>
        <v>0</v>
      </c>
      <c r="F48" s="313">
        <f t="shared" ref="F48" si="122">F49*$L48</f>
        <v>0</v>
      </c>
      <c r="G48" s="313">
        <f t="shared" ref="G48" si="123">G49*$L48</f>
        <v>0</v>
      </c>
      <c r="H48" s="313">
        <f t="shared" ref="H48" si="124">H49*$L48</f>
        <v>0</v>
      </c>
      <c r="I48" s="313">
        <f t="shared" ref="I48" si="125">I49*$L48</f>
        <v>5827.51</v>
      </c>
      <c r="J48" s="313">
        <f t="shared" ref="J48" si="126">J49*$L48</f>
        <v>5827.51</v>
      </c>
      <c r="K48" s="313">
        <f t="shared" ref="K48" si="127">K49*$L48</f>
        <v>0</v>
      </c>
      <c r="L48" s="314">
        <f>RESUMO!E35</f>
        <v>11655.01</v>
      </c>
      <c r="M48" s="315">
        <f t="shared" si="8"/>
        <v>0.01</v>
      </c>
      <c r="N48" s="317"/>
    </row>
    <row r="49" spans="1:14" x14ac:dyDescent="0.25">
      <c r="A49" s="458"/>
      <c r="B49" s="460"/>
      <c r="C49" s="316"/>
      <c r="D49" s="316"/>
      <c r="E49" s="316"/>
      <c r="F49" s="316"/>
      <c r="G49" s="316"/>
      <c r="H49" s="316"/>
      <c r="I49" s="316">
        <v>0.5</v>
      </c>
      <c r="J49" s="316">
        <v>0.5</v>
      </c>
      <c r="K49" s="316"/>
      <c r="L49" s="324">
        <f>L48/$L$54</f>
        <v>4.5999999999999999E-3</v>
      </c>
      <c r="M49" s="317">
        <f>SUM(C49:K49)-1</f>
        <v>0</v>
      </c>
      <c r="N49" s="317"/>
    </row>
    <row r="50" spans="1:14" x14ac:dyDescent="0.25">
      <c r="A50" s="457">
        <v>20</v>
      </c>
      <c r="B50" s="459" t="str">
        <f>RESUMO!C36</f>
        <v>URBANIZAÇÃO</v>
      </c>
      <c r="C50" s="313">
        <f>C51*$L50</f>
        <v>0</v>
      </c>
      <c r="D50" s="313">
        <f>D51*$L50</f>
        <v>0</v>
      </c>
      <c r="E50" s="313">
        <f t="shared" ref="E50" si="128">E51*$L50</f>
        <v>0</v>
      </c>
      <c r="F50" s="313">
        <f t="shared" ref="F50" si="129">F51*$L50</f>
        <v>0</v>
      </c>
      <c r="G50" s="313">
        <f t="shared" ref="G50" si="130">G51*$L50</f>
        <v>0</v>
      </c>
      <c r="H50" s="313">
        <f t="shared" ref="H50" si="131">H51*$L50</f>
        <v>0</v>
      </c>
      <c r="I50" s="313">
        <f t="shared" ref="I50" si="132">I51*$L50</f>
        <v>5140.79</v>
      </c>
      <c r="J50" s="313">
        <f t="shared" ref="J50" si="133">J51*$L50</f>
        <v>5140.79</v>
      </c>
      <c r="K50" s="313">
        <f t="shared" ref="K50" si="134">K51*$L50</f>
        <v>0</v>
      </c>
      <c r="L50" s="314">
        <f>RESUMO!E36</f>
        <v>10281.57</v>
      </c>
      <c r="M50" s="315">
        <f t="shared" si="8"/>
        <v>0.01</v>
      </c>
      <c r="N50" s="317"/>
    </row>
    <row r="51" spans="1:14" x14ac:dyDescent="0.25">
      <c r="A51" s="458"/>
      <c r="B51" s="460"/>
      <c r="C51" s="316"/>
      <c r="D51" s="316"/>
      <c r="E51" s="316"/>
      <c r="F51" s="316"/>
      <c r="G51" s="316"/>
      <c r="H51" s="316"/>
      <c r="I51" s="316">
        <v>0.5</v>
      </c>
      <c r="J51" s="316">
        <v>0.5</v>
      </c>
      <c r="K51" s="316"/>
      <c r="L51" s="324">
        <f>L50/$L$54</f>
        <v>4.1000000000000003E-3</v>
      </c>
      <c r="M51" s="317">
        <f>SUM(C51:K51)-1</f>
        <v>0</v>
      </c>
      <c r="N51" s="317"/>
    </row>
    <row r="52" spans="1:14" x14ac:dyDescent="0.25">
      <c r="A52" s="457">
        <v>21</v>
      </c>
      <c r="B52" s="459" t="str">
        <f>RESUMO!C37</f>
        <v>SERVIÇOS COMPLEMENTARES</v>
      </c>
      <c r="C52" s="313">
        <f>C53*$L52</f>
        <v>0</v>
      </c>
      <c r="D52" s="313">
        <f>D53*$L52</f>
        <v>0</v>
      </c>
      <c r="E52" s="313">
        <f t="shared" ref="E52" si="135">E53*$L52</f>
        <v>0</v>
      </c>
      <c r="F52" s="313">
        <f t="shared" ref="F52" si="136">F53*$L52</f>
        <v>0</v>
      </c>
      <c r="G52" s="313">
        <f t="shared" ref="G52" si="137">G53*$L52</f>
        <v>0</v>
      </c>
      <c r="H52" s="313">
        <f t="shared" ref="H52" si="138">H53*$L52</f>
        <v>0</v>
      </c>
      <c r="I52" s="313">
        <f t="shared" ref="I52" si="139">I53*$L52</f>
        <v>0</v>
      </c>
      <c r="J52" s="313">
        <f t="shared" ref="J52" si="140">J53*$L52</f>
        <v>0</v>
      </c>
      <c r="K52" s="313">
        <f t="shared" ref="K52" si="141">K53*$L52</f>
        <v>8923.0300000000007</v>
      </c>
      <c r="L52" s="314">
        <f>RESUMO!E37</f>
        <v>8923.0300000000007</v>
      </c>
      <c r="M52" s="315">
        <f t="shared" si="8"/>
        <v>0</v>
      </c>
      <c r="N52" s="317"/>
    </row>
    <row r="53" spans="1:14" x14ac:dyDescent="0.25">
      <c r="A53" s="458"/>
      <c r="B53" s="460"/>
      <c r="C53" s="316"/>
      <c r="D53" s="316"/>
      <c r="E53" s="316"/>
      <c r="F53" s="316"/>
      <c r="G53" s="316"/>
      <c r="H53" s="316"/>
      <c r="I53" s="316"/>
      <c r="J53" s="316"/>
      <c r="K53" s="316">
        <v>1</v>
      </c>
      <c r="L53" s="324">
        <f>L52/$L$54</f>
        <v>3.5000000000000001E-3</v>
      </c>
      <c r="M53" s="317">
        <f>SUM(C53:K53)-1</f>
        <v>0</v>
      </c>
      <c r="N53" s="317"/>
    </row>
    <row r="54" spans="1:14" ht="15" customHeight="1" x14ac:dyDescent="0.25">
      <c r="A54" s="461" t="s">
        <v>1670</v>
      </c>
      <c r="B54" s="462"/>
      <c r="C54" s="318">
        <f>C12+C16+C18+C20+C22+C24+C26+C28+C30+C32+C14+C34+C36+C38+C40+C42+C44+C46+C48+C50+C52</f>
        <v>330978.78000000003</v>
      </c>
      <c r="D54" s="318">
        <f t="shared" ref="D54:K54" si="142">D12+D16+D18+D20+D22+D24+D26+D28+D30+D32+D14+D34+D36+D38+D40+D42+D44+D46+D48+D50+D52</f>
        <v>269752.40999999997</v>
      </c>
      <c r="E54" s="318">
        <f t="shared" si="142"/>
        <v>266613.25</v>
      </c>
      <c r="F54" s="318">
        <f t="shared" si="142"/>
        <v>355163.97</v>
      </c>
      <c r="G54" s="318">
        <f t="shared" si="142"/>
        <v>293710.53000000003</v>
      </c>
      <c r="H54" s="318">
        <f t="shared" si="142"/>
        <v>347365.34</v>
      </c>
      <c r="I54" s="318">
        <f t="shared" si="142"/>
        <v>258065.39</v>
      </c>
      <c r="J54" s="318">
        <f t="shared" si="142"/>
        <v>272918.39</v>
      </c>
      <c r="K54" s="318">
        <f t="shared" si="142"/>
        <v>134067.60999999999</v>
      </c>
      <c r="L54" s="319">
        <f>L12+L16+L18+L20+L22+L24+L26+L28+L30+L32+L14+L34+L36+L38+L40+L42+L44+L46+L48+L50+L52</f>
        <v>2528635.65</v>
      </c>
      <c r="M54" s="315">
        <f>SUM(C54:K54)-L54</f>
        <v>0.02</v>
      </c>
      <c r="N54" s="315"/>
    </row>
    <row r="55" spans="1:14" ht="15" customHeight="1" x14ac:dyDescent="0.25">
      <c r="A55" s="461" t="s">
        <v>23</v>
      </c>
      <c r="B55" s="462"/>
      <c r="C55" s="320">
        <f>C54/$L$56</f>
        <v>0.13089999999999999</v>
      </c>
      <c r="D55" s="320">
        <f t="shared" ref="D55:K55" si="143">D54/$L$56</f>
        <v>0.1067</v>
      </c>
      <c r="E55" s="320">
        <f t="shared" si="143"/>
        <v>0.10539999999999999</v>
      </c>
      <c r="F55" s="320">
        <f t="shared" si="143"/>
        <v>0.14050000000000001</v>
      </c>
      <c r="G55" s="320">
        <f t="shared" si="143"/>
        <v>0.1162</v>
      </c>
      <c r="H55" s="320">
        <f t="shared" si="143"/>
        <v>0.13739999999999999</v>
      </c>
      <c r="I55" s="320">
        <f t="shared" si="143"/>
        <v>0.1021</v>
      </c>
      <c r="J55" s="320">
        <f t="shared" si="143"/>
        <v>0.1079</v>
      </c>
      <c r="K55" s="320">
        <f t="shared" si="143"/>
        <v>5.2999999999999999E-2</v>
      </c>
      <c r="L55" s="321">
        <f>SUM(C55:K55)</f>
        <v>1.0001</v>
      </c>
      <c r="M55" s="315"/>
    </row>
    <row r="56" spans="1:14" ht="15" customHeight="1" x14ac:dyDescent="0.25">
      <c r="A56" s="461" t="s">
        <v>1671</v>
      </c>
      <c r="B56" s="462"/>
      <c r="C56" s="318">
        <f>C54</f>
        <v>330978.78000000003</v>
      </c>
      <c r="D56" s="318">
        <f>C56+D54</f>
        <v>600731.18999999994</v>
      </c>
      <c r="E56" s="318">
        <f t="shared" ref="E56:K57" si="144">D56+E54</f>
        <v>867344.44</v>
      </c>
      <c r="F56" s="318">
        <f t="shared" si="144"/>
        <v>1222508.4099999999</v>
      </c>
      <c r="G56" s="318">
        <f t="shared" si="144"/>
        <v>1516218.94</v>
      </c>
      <c r="H56" s="318">
        <f t="shared" si="144"/>
        <v>1863584.28</v>
      </c>
      <c r="I56" s="318">
        <f t="shared" si="144"/>
        <v>2121649.67</v>
      </c>
      <c r="J56" s="318">
        <f t="shared" si="144"/>
        <v>2394568.06</v>
      </c>
      <c r="K56" s="318">
        <f t="shared" si="144"/>
        <v>2528635.67</v>
      </c>
      <c r="L56" s="319">
        <f>L54</f>
        <v>2528635.65</v>
      </c>
      <c r="M56" s="315"/>
    </row>
    <row r="57" spans="1:14" ht="15" customHeight="1" thickBot="1" x14ac:dyDescent="0.3">
      <c r="A57" s="463" t="s">
        <v>23</v>
      </c>
      <c r="B57" s="464"/>
      <c r="C57" s="322">
        <f>C55</f>
        <v>0.13089999999999999</v>
      </c>
      <c r="D57" s="322">
        <f>C57+D55</f>
        <v>0.23760000000000001</v>
      </c>
      <c r="E57" s="322">
        <f>D57+E55</f>
        <v>0.34300000000000003</v>
      </c>
      <c r="F57" s="322">
        <f t="shared" si="144"/>
        <v>0.48349999999999999</v>
      </c>
      <c r="G57" s="322">
        <f t="shared" si="144"/>
        <v>0.59970000000000001</v>
      </c>
      <c r="H57" s="322">
        <f t="shared" si="144"/>
        <v>0.73709999999999998</v>
      </c>
      <c r="I57" s="322">
        <f t="shared" si="144"/>
        <v>0.83919999999999995</v>
      </c>
      <c r="J57" s="322">
        <f t="shared" si="144"/>
        <v>0.94710000000000005</v>
      </c>
      <c r="K57" s="322">
        <f t="shared" si="144"/>
        <v>1.0001</v>
      </c>
      <c r="L57" s="323">
        <f>L55</f>
        <v>1.0001</v>
      </c>
      <c r="M57" s="315"/>
    </row>
    <row r="58" spans="1:14" x14ac:dyDescent="0.25">
      <c r="L58" s="315"/>
    </row>
    <row r="59" spans="1:14" x14ac:dyDescent="0.25">
      <c r="L59" s="315"/>
    </row>
    <row r="60" spans="1:14" x14ac:dyDescent="0.25">
      <c r="C60" s="315"/>
      <c r="D60" s="315"/>
      <c r="E60" s="315"/>
      <c r="F60" s="315"/>
      <c r="G60" s="315"/>
      <c r="H60" s="315"/>
      <c r="I60" s="315"/>
      <c r="J60" s="315"/>
      <c r="K60" s="315"/>
    </row>
    <row r="61" spans="1:14" x14ac:dyDescent="0.25">
      <c r="C61" s="315"/>
    </row>
    <row r="78" spans="6:6" x14ac:dyDescent="0.25">
      <c r="F78" s="326" t="s">
        <v>1675</v>
      </c>
    </row>
  </sheetData>
  <mergeCells count="56">
    <mergeCell ref="C10:K10"/>
    <mergeCell ref="L10:L11"/>
    <mergeCell ref="A12:A13"/>
    <mergeCell ref="B12:B13"/>
    <mergeCell ref="C1:L1"/>
    <mergeCell ref="C2:L2"/>
    <mergeCell ref="C3:L3"/>
    <mergeCell ref="A5:L5"/>
    <mergeCell ref="B7:K7"/>
    <mergeCell ref="B8:K8"/>
    <mergeCell ref="A14:A15"/>
    <mergeCell ref="B14:B15"/>
    <mergeCell ref="A16:A17"/>
    <mergeCell ref="B16:B17"/>
    <mergeCell ref="A10:A11"/>
    <mergeCell ref="B10:B11"/>
    <mergeCell ref="A22:A23"/>
    <mergeCell ref="B22:B23"/>
    <mergeCell ref="B24:B25"/>
    <mergeCell ref="A18:A19"/>
    <mergeCell ref="B18:B19"/>
    <mergeCell ref="A20:A21"/>
    <mergeCell ref="B20:B21"/>
    <mergeCell ref="A24:A25"/>
    <mergeCell ref="A54:B54"/>
    <mergeCell ref="A55:B55"/>
    <mergeCell ref="A56:B56"/>
    <mergeCell ref="A57:B57"/>
    <mergeCell ref="A34:A35"/>
    <mergeCell ref="B34:B35"/>
    <mergeCell ref="A36:A37"/>
    <mergeCell ref="B36:B37"/>
    <mergeCell ref="A38:A39"/>
    <mergeCell ref="B38:B39"/>
    <mergeCell ref="A50:A51"/>
    <mergeCell ref="B50:B51"/>
    <mergeCell ref="A52:A53"/>
    <mergeCell ref="B52:B53"/>
    <mergeCell ref="A40:A41"/>
    <mergeCell ref="B40:B41"/>
    <mergeCell ref="A26:A27"/>
    <mergeCell ref="B26:B27"/>
    <mergeCell ref="A28:A29"/>
    <mergeCell ref="B28:B29"/>
    <mergeCell ref="A48:A49"/>
    <mergeCell ref="B48:B49"/>
    <mergeCell ref="A30:A31"/>
    <mergeCell ref="B30:B31"/>
    <mergeCell ref="A32:A33"/>
    <mergeCell ref="B32:B33"/>
    <mergeCell ref="A42:A43"/>
    <mergeCell ref="B42:B43"/>
    <mergeCell ref="A44:A45"/>
    <mergeCell ref="B44:B45"/>
    <mergeCell ref="A46:A47"/>
    <mergeCell ref="B46:B47"/>
  </mergeCells>
  <conditionalFormatting sqref="L12">
    <cfRule type="containsText" dxfId="20" priority="22" operator="containsText" text="RECALCULAR">
      <formula>NOT(ISERROR(SEARCH("RECALCULAR",L12)))</formula>
    </cfRule>
  </conditionalFormatting>
  <conditionalFormatting sqref="L14">
    <cfRule type="containsText" dxfId="19" priority="21" operator="containsText" text="RECALCULAR">
      <formula>NOT(ISERROR(SEARCH("RECALCULAR",L14)))</formula>
    </cfRule>
  </conditionalFormatting>
  <conditionalFormatting sqref="L16">
    <cfRule type="containsText" dxfId="18" priority="20" operator="containsText" text="RECALCULAR">
      <formula>NOT(ISERROR(SEARCH("RECALCULAR",L16)))</formula>
    </cfRule>
  </conditionalFormatting>
  <conditionalFormatting sqref="L18">
    <cfRule type="containsText" dxfId="17" priority="19" operator="containsText" text="RECALCULAR">
      <formula>NOT(ISERROR(SEARCH("RECALCULAR",L18)))</formula>
    </cfRule>
  </conditionalFormatting>
  <conditionalFormatting sqref="L20">
    <cfRule type="containsText" dxfId="16" priority="18" operator="containsText" text="RECALCULAR">
      <formula>NOT(ISERROR(SEARCH("RECALCULAR",L20)))</formula>
    </cfRule>
  </conditionalFormatting>
  <conditionalFormatting sqref="L22">
    <cfRule type="containsText" dxfId="15" priority="17" operator="containsText" text="RECALCULAR">
      <formula>NOT(ISERROR(SEARCH("RECALCULAR",L22)))</formula>
    </cfRule>
  </conditionalFormatting>
  <conditionalFormatting sqref="L24">
    <cfRule type="containsText" dxfId="14" priority="16" operator="containsText" text="RECALCULAR">
      <formula>NOT(ISERROR(SEARCH("RECALCULAR",L24)))</formula>
    </cfRule>
  </conditionalFormatting>
  <conditionalFormatting sqref="L26">
    <cfRule type="containsText" dxfId="13" priority="15" operator="containsText" text="RECALCULAR">
      <formula>NOT(ISERROR(SEARCH("RECALCULAR",L26)))</formula>
    </cfRule>
  </conditionalFormatting>
  <conditionalFormatting sqref="L28">
    <cfRule type="containsText" dxfId="12" priority="14" operator="containsText" text="RECALCULAR">
      <formula>NOT(ISERROR(SEARCH("RECALCULAR",L28)))</formula>
    </cfRule>
  </conditionalFormatting>
  <conditionalFormatting sqref="L30">
    <cfRule type="containsText" dxfId="11" priority="13" operator="containsText" text="RECALCULAR">
      <formula>NOT(ISERROR(SEARCH("RECALCULAR",L30)))</formula>
    </cfRule>
  </conditionalFormatting>
  <conditionalFormatting sqref="L32">
    <cfRule type="containsText" dxfId="10" priority="12" operator="containsText" text="RECALCULAR">
      <formula>NOT(ISERROR(SEARCH("RECALCULAR",L32)))</formula>
    </cfRule>
  </conditionalFormatting>
  <conditionalFormatting sqref="L34">
    <cfRule type="containsText" dxfId="9" priority="11" operator="containsText" text="RECALCULAR">
      <formula>NOT(ISERROR(SEARCH("RECALCULAR",L34)))</formula>
    </cfRule>
  </conditionalFormatting>
  <conditionalFormatting sqref="L36">
    <cfRule type="containsText" dxfId="8" priority="10" operator="containsText" text="RECALCULAR">
      <formula>NOT(ISERROR(SEARCH("RECALCULAR",L36)))</formula>
    </cfRule>
  </conditionalFormatting>
  <conditionalFormatting sqref="L38">
    <cfRule type="containsText" dxfId="7" priority="9" operator="containsText" text="RECALCULAR">
      <formula>NOT(ISERROR(SEARCH("RECALCULAR",L38)))</formula>
    </cfRule>
  </conditionalFormatting>
  <conditionalFormatting sqref="L40">
    <cfRule type="containsText" dxfId="6" priority="8" operator="containsText" text="RECALCULAR">
      <formula>NOT(ISERROR(SEARCH("RECALCULAR",L40)))</formula>
    </cfRule>
  </conditionalFormatting>
  <conditionalFormatting sqref="L42">
    <cfRule type="containsText" dxfId="5" priority="7" operator="containsText" text="RECALCULAR">
      <formula>NOT(ISERROR(SEARCH("RECALCULAR",L42)))</formula>
    </cfRule>
  </conditionalFormatting>
  <conditionalFormatting sqref="L44">
    <cfRule type="containsText" dxfId="4" priority="6" operator="containsText" text="RECALCULAR">
      <formula>NOT(ISERROR(SEARCH("RECALCULAR",L44)))</formula>
    </cfRule>
  </conditionalFormatting>
  <conditionalFormatting sqref="L46">
    <cfRule type="containsText" dxfId="3" priority="5" operator="containsText" text="RECALCULAR">
      <formula>NOT(ISERROR(SEARCH("RECALCULAR",L46)))</formula>
    </cfRule>
  </conditionalFormatting>
  <conditionalFormatting sqref="L48">
    <cfRule type="containsText" dxfId="2" priority="4" operator="containsText" text="RECALCULAR">
      <formula>NOT(ISERROR(SEARCH("RECALCULAR",L48)))</formula>
    </cfRule>
  </conditionalFormatting>
  <conditionalFormatting sqref="L50">
    <cfRule type="containsText" dxfId="1" priority="3" operator="containsText" text="RECALCULAR">
      <formula>NOT(ISERROR(SEARCH("RECALCULAR",L50)))</formula>
    </cfRule>
  </conditionalFormatting>
  <conditionalFormatting sqref="L52">
    <cfRule type="containsText" dxfId="0" priority="2" operator="containsText" text="RECALCULAR">
      <formula>NOT(ISERROR(SEARCH("RECALCULAR",L52)))</formula>
    </cfRule>
  </conditionalFormatting>
  <printOptions horizontalCentered="1"/>
  <pageMargins left="0.31496062992125984" right="0.31496062992125984" top="0.59055118110236227" bottom="0.78740157480314965" header="0.31496062992125984" footer="0.31496062992125984"/>
  <pageSetup paperSize="9" scale="59" fitToHeight="2" orientation="landscape" horizontalDpi="1200" verticalDpi="12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11</vt:i4>
      </vt:variant>
      <vt:variant>
        <vt:lpstr>Intervalos Nomeados</vt:lpstr>
      </vt:variant>
      <vt:variant>
        <vt:i4>63</vt:i4>
      </vt:variant>
    </vt:vector>
  </HeadingPairs>
  <TitlesOfParts>
    <vt:vector size="74" baseType="lpstr">
      <vt:lpstr>DADOS GERAIS</vt:lpstr>
      <vt:lpstr>RESUMO</vt:lpstr>
      <vt:lpstr>ORC. SINTÉTICO - DES</vt:lpstr>
      <vt:lpstr>CPUS</vt:lpstr>
      <vt:lpstr>BDI DESONERADO</vt:lpstr>
      <vt:lpstr>Cotação</vt:lpstr>
      <vt:lpstr>ENCARGOS SOCIAIS</vt:lpstr>
      <vt:lpstr>JUSTIFICATIVAS CPUS</vt:lpstr>
      <vt:lpstr>Cronograma</vt:lpstr>
      <vt:lpstr>Quantidades</vt:lpstr>
      <vt:lpstr>Curva ABC</vt:lpstr>
      <vt:lpstr>Cronograma!Area_de_impressao</vt:lpstr>
      <vt:lpstr>'Curva ABC'!Area_de_impressao</vt:lpstr>
      <vt:lpstr>'DADOS GERAIS'!Area_de_impressao</vt:lpstr>
      <vt:lpstr>'JUSTIFICATIVAS CPUS'!Area_de_impressao</vt:lpstr>
      <vt:lpstr>'ORC. SINTÉTICO - DES'!Area_de_impressao</vt:lpstr>
      <vt:lpstr>Quantidades!Area_de_impressao</vt:lpstr>
      <vt:lpstr>RESUMO!Area_de_impressao</vt:lpstr>
      <vt:lpstr>CPUS!Titulos_de_impressao</vt:lpstr>
      <vt:lpstr>Cronograma!Titulos_de_impressao</vt:lpstr>
      <vt:lpstr>'Curva ABC'!Titulos_de_impressao</vt:lpstr>
      <vt:lpstr>'JUSTIFICATIVAS CPUS'!Titulos_de_impressao</vt:lpstr>
      <vt:lpstr>'ORC. SINTÉTICO - DES'!Titulos_de_impressao</vt:lpstr>
      <vt:lpstr>Quantidades!Titulos_de_impressao</vt:lpstr>
      <vt:lpstr>'BDI DESONERADO'!Z_0306F0C2_70DB_4729_BB6A_5299B1A5AEA0_.wvu.PrintArea</vt:lpstr>
      <vt:lpstr>'ENCARGOS SOCIAIS'!Z_0306F0C2_70DB_4729_BB6A_5299B1A5AEA0_.wvu.PrintArea</vt:lpstr>
      <vt:lpstr>'BDI DESONERADO'!Z_12376024_9872_4870_B42C_DF0FD31EC62E_.wvu.PrintArea</vt:lpstr>
      <vt:lpstr>'ENCARGOS SOCIAIS'!Z_12376024_9872_4870_B42C_DF0FD31EC62E_.wvu.PrintArea</vt:lpstr>
      <vt:lpstr>CPUS!Z_12538664_79C6_4AAD_BD81_5363A5F496D7_.wvu.PrintArea</vt:lpstr>
      <vt:lpstr>'Curva ABC'!Z_12538664_79C6_4AAD_BD81_5363A5F496D7_.wvu.PrintArea</vt:lpstr>
      <vt:lpstr>'DADOS GERAIS'!Z_12538664_79C6_4AAD_BD81_5363A5F496D7_.wvu.PrintArea</vt:lpstr>
      <vt:lpstr>'ORC. SINTÉTICO - DES'!Z_12538664_79C6_4AAD_BD81_5363A5F496D7_.wvu.PrintArea</vt:lpstr>
      <vt:lpstr>Quantidades!Z_12538664_79C6_4AAD_BD81_5363A5F496D7_.wvu.PrintArea</vt:lpstr>
      <vt:lpstr>RESUMO!Z_12538664_79C6_4AAD_BD81_5363A5F496D7_.wvu.PrintArea</vt:lpstr>
      <vt:lpstr>'Curva ABC'!Z_12538664_79C6_4AAD_BD81_5363A5F496D7_.wvu.Rows</vt:lpstr>
      <vt:lpstr>'ORC. SINTÉTICO - DES'!Z_12538664_79C6_4AAD_BD81_5363A5F496D7_.wvu.Rows</vt:lpstr>
      <vt:lpstr>Quantidades!Z_12538664_79C6_4AAD_BD81_5363A5F496D7_.wvu.Rows</vt:lpstr>
      <vt:lpstr>CPUS!Z_18D9C5C8_6EC0_4507_ACF1_BEE4D54D4AE8_.wvu.PrintArea</vt:lpstr>
      <vt:lpstr>'Curva ABC'!Z_18D9C5C8_6EC0_4507_ACF1_BEE4D54D4AE8_.wvu.PrintArea</vt:lpstr>
      <vt:lpstr>'DADOS GERAIS'!Z_18D9C5C8_6EC0_4507_ACF1_BEE4D54D4AE8_.wvu.PrintArea</vt:lpstr>
      <vt:lpstr>'ORC. SINTÉTICO - DES'!Z_18D9C5C8_6EC0_4507_ACF1_BEE4D54D4AE8_.wvu.PrintArea</vt:lpstr>
      <vt:lpstr>Quantidades!Z_18D9C5C8_6EC0_4507_ACF1_BEE4D54D4AE8_.wvu.PrintArea</vt:lpstr>
      <vt:lpstr>RESUMO!Z_18D9C5C8_6EC0_4507_ACF1_BEE4D54D4AE8_.wvu.PrintArea</vt:lpstr>
      <vt:lpstr>'Curva ABC'!Z_18D9C5C8_6EC0_4507_ACF1_BEE4D54D4AE8_.wvu.Rows</vt:lpstr>
      <vt:lpstr>'ORC. SINTÉTICO - DES'!Z_18D9C5C8_6EC0_4507_ACF1_BEE4D54D4AE8_.wvu.Rows</vt:lpstr>
      <vt:lpstr>Quantidades!Z_18D9C5C8_6EC0_4507_ACF1_BEE4D54D4AE8_.wvu.Rows</vt:lpstr>
      <vt:lpstr>'JUSTIFICATIVAS CPUS'!Z_2675BA43_8563_4FE8_9385_CEC837618B0A_.wvu.PrintArea</vt:lpstr>
      <vt:lpstr>'JUSTIFICATIVAS CPUS'!Z_28B41BAB_DC76_480E_A1E5_0680F2E379B7_.wvu.PrintArea</vt:lpstr>
      <vt:lpstr>'JUSTIFICATIVAS CPUS'!Z_2C035CC8_3055_44F7_AAA9_AD9C9EF12435_.wvu.PrintArea</vt:lpstr>
      <vt:lpstr>'BDI DESONERADO'!Z_31669B58_6052_4B28_A2A6_B4D646275034_.wvu.PrintArea</vt:lpstr>
      <vt:lpstr>'ENCARGOS SOCIAIS'!Z_31669B58_6052_4B28_A2A6_B4D646275034_.wvu.PrintArea</vt:lpstr>
      <vt:lpstr>'JUSTIFICATIVAS CPUS'!Z_53D497E1_E826_4F8A_992E_431F101CA300_.wvu.PrintArea</vt:lpstr>
      <vt:lpstr>'BDI DESONERADO'!Z_5C936B0E_B1B0_4680_9496_257339E19331_.wvu.PrintArea</vt:lpstr>
      <vt:lpstr>'ENCARGOS SOCIAIS'!Z_5C936B0E_B1B0_4680_9496_257339E19331_.wvu.PrintArea</vt:lpstr>
      <vt:lpstr>'BDI DESONERADO'!Z_5EB5A1F5_D41C_4922_9EB6_0F91F671DD29_.wvu.PrintArea</vt:lpstr>
      <vt:lpstr>'ENCARGOS SOCIAIS'!Z_5EB5A1F5_D41C_4922_9EB6_0F91F671DD29_.wvu.PrintArea</vt:lpstr>
      <vt:lpstr>'JUSTIFICATIVAS CPUS'!Z_6C4A5780_A529_48FA_99BA_79BD868CD359_.wvu.PrintArea</vt:lpstr>
      <vt:lpstr>'BDI DESONERADO'!Z_6CEAEE79_3031_4A07_9C1B_BEA3A33B6E8E_.wvu.PrintArea</vt:lpstr>
      <vt:lpstr>'ENCARGOS SOCIAIS'!Z_6CEAEE79_3031_4A07_9C1B_BEA3A33B6E8E_.wvu.PrintArea</vt:lpstr>
      <vt:lpstr>'JUSTIFICATIVAS CPUS'!Z_7FF15CC8_DB84_4698_8C98_3A52BD743E2D_.wvu.PrintArea</vt:lpstr>
      <vt:lpstr>'JUSTIFICATIVAS CPUS'!Z_8AD65702_4E2C_47D8_8007_38AB6DC80A2F_.wvu.PrintArea</vt:lpstr>
      <vt:lpstr>'JUSTIFICATIVAS CPUS'!Z_8D21F177_5E6A_4C44_9891_68BF06A93C62_.wvu.PrintArea</vt:lpstr>
      <vt:lpstr>'JUSTIFICATIVAS CPUS'!Z_A07C36CD_65E3_4A21_B956_D1766C5EB84D_.wvu.PrintArea</vt:lpstr>
      <vt:lpstr>'JUSTIFICATIVAS CPUS'!Z_A951D8EB_0DF5_4872_832B_26DF5B5ABADD_.wvu.PrintArea</vt:lpstr>
      <vt:lpstr>CPUS!Z_CA485D5E_5C09_4636_B7A6_10EC2B405CCB_.wvu.PrintArea</vt:lpstr>
      <vt:lpstr>'Curva ABC'!Z_CA485D5E_5C09_4636_B7A6_10EC2B405CCB_.wvu.PrintArea</vt:lpstr>
      <vt:lpstr>'DADOS GERAIS'!Z_CA485D5E_5C09_4636_B7A6_10EC2B405CCB_.wvu.PrintArea</vt:lpstr>
      <vt:lpstr>'ORC. SINTÉTICO - DES'!Z_CA485D5E_5C09_4636_B7A6_10EC2B405CCB_.wvu.PrintArea</vt:lpstr>
      <vt:lpstr>Quantidades!Z_CA485D5E_5C09_4636_B7A6_10EC2B405CCB_.wvu.PrintArea</vt:lpstr>
      <vt:lpstr>RESUMO!Z_CA485D5E_5C09_4636_B7A6_10EC2B405CCB_.wvu.PrintArea</vt:lpstr>
      <vt:lpstr>'Curva ABC'!Z_CA485D5E_5C09_4636_B7A6_10EC2B405CCB_.wvu.Rows</vt:lpstr>
      <vt:lpstr>'ORC. SINTÉTICO - DES'!Z_CA485D5E_5C09_4636_B7A6_10EC2B405CCB_.wvu.Rows</vt:lpstr>
      <vt:lpstr>Quantidades!Z_CA485D5E_5C09_4636_B7A6_10EC2B405CCB_.wvu.Rows</vt:lpstr>
      <vt:lpstr>'JUSTIFICATIVAS CPUS'!Z_E00A2F2B_5FAE_482A_B5C1_08D9DD4D80BE_.wvu.PrintArea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Thais Pellaquim</dc:creator>
  <cp:lastModifiedBy>Kleber Bueno</cp:lastModifiedBy>
  <cp:lastPrinted>2025-02-24T19:03:55Z</cp:lastPrinted>
  <dcterms:created xsi:type="dcterms:W3CDTF">2024-03-24T14:34:26Z</dcterms:created>
  <dcterms:modified xsi:type="dcterms:W3CDTF">2025-03-14T17:53:47Z</dcterms:modified>
</cp:coreProperties>
</file>